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mc:AlternateContent xmlns:mc="http://schemas.openxmlformats.org/markup-compatibility/2006">
    <mc:Choice Requires="x15">
      <x15ac:absPath xmlns:x15ac="http://schemas.microsoft.com/office/spreadsheetml/2010/11/ac" url="C:\Users\Dana\Dropbox\Fundamentals - shared with Dana\FFM15\Excel Chapter Models\"/>
    </mc:Choice>
  </mc:AlternateContent>
  <bookViews>
    <workbookView xWindow="5190" yWindow="-45" windowWidth="10110" windowHeight="8475" tabRatio="622" xr2:uid="{00000000-000D-0000-FFFF-FFFF00000000}"/>
  </bookViews>
  <sheets>
    <sheet name="12 Chapter model" sheetId="1" r:id="rId1"/>
    <sheet name="Replacement Analysis" sheetId="3" r:id="rId2"/>
    <sheet name="Risk Analysis" sheetId="8" r:id="rId3"/>
    <sheet name="Figure 12.3 Unequal Lives" sheetId="10" r:id="rId4"/>
    <sheet name="12-7" sheetId="13" r:id="rId5"/>
    <sheet name="Web App 12B" sheetId="9" r:id="rId6"/>
  </sheets>
  <definedNames>
    <definedName name="_xlnm.Print_Area" localSheetId="0">'12 Chapter model'!$A$1:$I$57</definedName>
    <definedName name="_xlnm.Print_Area" localSheetId="1">'Replacement Analysis'!$A$1:$J$54</definedName>
  </definedNames>
  <calcPr calcId="171027"/>
</workbook>
</file>

<file path=xl/calcChain.xml><?xml version="1.0" encoding="utf-8"?>
<calcChain xmlns="http://schemas.openxmlformats.org/spreadsheetml/2006/main">
  <c r="H1" i="13" l="1"/>
  <c r="D42" i="13"/>
  <c r="B42" i="13"/>
  <c r="D41" i="13"/>
  <c r="B41" i="13"/>
  <c r="C32" i="13"/>
  <c r="B32" i="13"/>
  <c r="F31" i="13"/>
  <c r="F32" i="13" s="1"/>
  <c r="E31" i="13"/>
  <c r="E32" i="13" s="1"/>
  <c r="D31" i="13"/>
  <c r="D32" i="13" s="1"/>
  <c r="B27" i="13"/>
  <c r="B18" i="13"/>
  <c r="D43" i="13" s="1"/>
  <c r="B13" i="13"/>
  <c r="B43" i="13" s="1"/>
  <c r="I1" i="9"/>
  <c r="H1" i="3"/>
  <c r="I1" i="8"/>
  <c r="D40" i="8"/>
  <c r="D46" i="13" l="1"/>
  <c r="B34" i="13"/>
  <c r="B46" i="13"/>
  <c r="D141" i="8"/>
  <c r="D1" i="8"/>
  <c r="D1" i="3"/>
  <c r="F48" i="3"/>
  <c r="F49" i="3"/>
  <c r="E47" i="3"/>
  <c r="E52" i="3"/>
  <c r="G28" i="3"/>
  <c r="H28" i="3"/>
  <c r="I28" i="3" s="1"/>
  <c r="G27" i="3"/>
  <c r="E24" i="3"/>
  <c r="Q29" i="3" s="1"/>
  <c r="Q22" i="3" s="1"/>
  <c r="F21" i="3"/>
  <c r="F17" i="3"/>
  <c r="F18" i="3" s="1"/>
  <c r="F19" i="3" s="1"/>
  <c r="F20" i="3" s="1"/>
  <c r="F22" i="3" s="1"/>
  <c r="P16" i="3"/>
  <c r="Q16" i="3" s="1"/>
  <c r="R16" i="3" s="1"/>
  <c r="G16" i="3"/>
  <c r="H16" i="3" s="1"/>
  <c r="G21" i="3"/>
  <c r="O15" i="3"/>
  <c r="O17" i="3"/>
  <c r="G15" i="3"/>
  <c r="G14" i="3"/>
  <c r="H14" i="3" s="1"/>
  <c r="I14" i="3" s="1"/>
  <c r="P15" i="3"/>
  <c r="P17" i="3" s="1"/>
  <c r="E26" i="3"/>
  <c r="E35" i="3" s="1"/>
  <c r="E37" i="3" s="1"/>
  <c r="H27" i="3"/>
  <c r="R29" i="3"/>
  <c r="R22" i="3" s="1"/>
  <c r="R23" i="3" s="1"/>
  <c r="I27" i="3"/>
  <c r="G41" i="1"/>
  <c r="H41" i="1" s="1"/>
  <c r="I41" i="1" s="1"/>
  <c r="I42" i="1" s="1"/>
  <c r="I40" i="1"/>
  <c r="H40" i="1"/>
  <c r="G40" i="1"/>
  <c r="F40" i="1"/>
  <c r="O35" i="1"/>
  <c r="K35" i="1"/>
  <c r="K34" i="1"/>
  <c r="K33" i="1"/>
  <c r="I32" i="1"/>
  <c r="S32" i="1"/>
  <c r="S31" i="1"/>
  <c r="S33" i="1" s="1"/>
  <c r="K31" i="1"/>
  <c r="K29" i="1"/>
  <c r="K27" i="1"/>
  <c r="Q22" i="1"/>
  <c r="R22" i="1" s="1"/>
  <c r="G22" i="1"/>
  <c r="H22" i="1" s="1"/>
  <c r="I21" i="1"/>
  <c r="S21" i="1" s="1"/>
  <c r="H21" i="1"/>
  <c r="G21" i="1"/>
  <c r="Q21" i="1" s="1"/>
  <c r="F21" i="1"/>
  <c r="F20" i="1"/>
  <c r="S19" i="1"/>
  <c r="R19" i="1"/>
  <c r="Q19" i="1"/>
  <c r="P19" i="1"/>
  <c r="P18" i="1"/>
  <c r="G18" i="1"/>
  <c r="Q18" i="1" s="1"/>
  <c r="S17" i="1"/>
  <c r="R17" i="1"/>
  <c r="Q17" i="1"/>
  <c r="Q20" i="1" s="1"/>
  <c r="P17" i="1"/>
  <c r="E15" i="1"/>
  <c r="E14" i="1"/>
  <c r="F42" i="1" s="1"/>
  <c r="P23" i="1" s="1"/>
  <c r="E26" i="10"/>
  <c r="B26" i="10"/>
  <c r="B18" i="10"/>
  <c r="D11" i="10"/>
  <c r="D6" i="10"/>
  <c r="I41" i="9"/>
  <c r="D41" i="9"/>
  <c r="F33" i="9"/>
  <c r="G33" i="9" s="1"/>
  <c r="F32" i="9"/>
  <c r="G32" i="9" s="1"/>
  <c r="G34" i="9" s="1"/>
  <c r="I43" i="9" s="1"/>
  <c r="F34" i="9"/>
  <c r="F28" i="9"/>
  <c r="G28" i="9" s="1"/>
  <c r="F27" i="9"/>
  <c r="F23" i="9"/>
  <c r="G23" i="9" s="1"/>
  <c r="F22" i="9"/>
  <c r="G22" i="9" s="1"/>
  <c r="F21" i="9"/>
  <c r="G21" i="9" s="1"/>
  <c r="F20" i="9"/>
  <c r="G20" i="9" s="1"/>
  <c r="F19" i="9"/>
  <c r="G19" i="9" s="1"/>
  <c r="D14" i="9"/>
  <c r="D42" i="9" s="1"/>
  <c r="I114" i="8"/>
  <c r="B132" i="8" s="1"/>
  <c r="B141" i="8"/>
  <c r="I113" i="8"/>
  <c r="I112" i="8"/>
  <c r="G132" i="8" s="1"/>
  <c r="G141" i="8" s="1"/>
  <c r="H91" i="8"/>
  <c r="G91" i="8"/>
  <c r="F91" i="8"/>
  <c r="F92" i="8" s="1"/>
  <c r="E91" i="8"/>
  <c r="D91" i="8"/>
  <c r="C91" i="8"/>
  <c r="H90" i="8"/>
  <c r="G90" i="8"/>
  <c r="F90" i="8"/>
  <c r="E90" i="8"/>
  <c r="D90" i="8"/>
  <c r="C90" i="8"/>
  <c r="H89" i="8"/>
  <c r="H92" i="8"/>
  <c r="G89" i="8"/>
  <c r="G92" i="8"/>
  <c r="F89" i="8"/>
  <c r="E89" i="8"/>
  <c r="E92" i="8"/>
  <c r="D89" i="8"/>
  <c r="C89" i="8"/>
  <c r="C92" i="8" s="1"/>
  <c r="I32" i="8"/>
  <c r="I33" i="8" s="1"/>
  <c r="F22" i="8"/>
  <c r="G22" i="8" s="1"/>
  <c r="I19" i="8"/>
  <c r="H19" i="8"/>
  <c r="G19" i="8"/>
  <c r="F19" i="8"/>
  <c r="F21" i="8" s="1"/>
  <c r="F18" i="8"/>
  <c r="G18" i="8" s="1"/>
  <c r="I17" i="8"/>
  <c r="I21" i="8" s="1"/>
  <c r="H17" i="8"/>
  <c r="H21" i="8" s="1"/>
  <c r="G17" i="8"/>
  <c r="G21" i="8" s="1"/>
  <c r="F17" i="8"/>
  <c r="E15" i="8"/>
  <c r="I34" i="8" s="1"/>
  <c r="E14" i="8"/>
  <c r="G20" i="1"/>
  <c r="P21" i="1"/>
  <c r="C38" i="8"/>
  <c r="F39" i="8" s="1"/>
  <c r="F23" i="8" s="1"/>
  <c r="I116" i="8"/>
  <c r="I117" i="8" s="1"/>
  <c r="D1" i="1"/>
  <c r="I22" i="1"/>
  <c r="H18" i="1"/>
  <c r="H20" i="1" s="1"/>
  <c r="I33" i="1"/>
  <c r="R18" i="1"/>
  <c r="R20" i="1"/>
  <c r="E35" i="8"/>
  <c r="D92" i="8"/>
  <c r="I115" i="8"/>
  <c r="S22" i="1"/>
  <c r="P28" i="1" l="1"/>
  <c r="Q23" i="1"/>
  <c r="P24" i="1"/>
  <c r="I16" i="3"/>
  <c r="I21" i="3" s="1"/>
  <c r="H21" i="3"/>
  <c r="I18" i="1"/>
  <c r="S18" i="1" s="1"/>
  <c r="S20" i="1" s="1"/>
  <c r="R21" i="1"/>
  <c r="C38" i="1"/>
  <c r="G42" i="1"/>
  <c r="G24" i="9"/>
  <c r="C51" i="9" s="1"/>
  <c r="P20" i="1"/>
  <c r="H29" i="3"/>
  <c r="Q23" i="3"/>
  <c r="I34" i="1"/>
  <c r="S34" i="1" s="1"/>
  <c r="E35" i="1"/>
  <c r="H15" i="3"/>
  <c r="G48" i="3"/>
  <c r="G49" i="3" s="1"/>
  <c r="G17" i="3"/>
  <c r="G18" i="3" s="1"/>
  <c r="H30" i="3"/>
  <c r="H31" i="3" s="1"/>
  <c r="Q24" i="1"/>
  <c r="Q25" i="1" s="1"/>
  <c r="I42" i="9"/>
  <c r="I45" i="9" s="1"/>
  <c r="H51" i="9" s="1"/>
  <c r="G27" i="9"/>
  <c r="G29" i="9" s="1"/>
  <c r="D43" i="9" s="1"/>
  <c r="D45" i="9" s="1"/>
  <c r="E51" i="9" s="1"/>
  <c r="F29" i="9"/>
  <c r="H42" i="1"/>
  <c r="I29" i="3"/>
  <c r="O29" i="3"/>
  <c r="O22" i="3" s="1"/>
  <c r="P29" i="3"/>
  <c r="P22" i="3" s="1"/>
  <c r="I39" i="8"/>
  <c r="I23" i="8" s="1"/>
  <c r="I28" i="8" s="1"/>
  <c r="H22" i="8"/>
  <c r="F24" i="8"/>
  <c r="F28" i="8"/>
  <c r="H18" i="8"/>
  <c r="G20" i="8"/>
  <c r="G39" i="8"/>
  <c r="G23" i="8" s="1"/>
  <c r="G28" i="8" s="1"/>
  <c r="H39" i="8"/>
  <c r="H23" i="8" s="1"/>
  <c r="H28" i="8" s="1"/>
  <c r="F20" i="8"/>
  <c r="F25" i="8" s="1"/>
  <c r="Q28" i="1" l="1"/>
  <c r="R23" i="1"/>
  <c r="I20" i="1"/>
  <c r="G39" i="1"/>
  <c r="G23" i="1" s="1"/>
  <c r="I39" i="1"/>
  <c r="I23" i="1" s="1"/>
  <c r="C41" i="1"/>
  <c r="F39" i="1"/>
  <c r="F23" i="1" s="1"/>
  <c r="H39" i="1"/>
  <c r="H23" i="1" s="1"/>
  <c r="C53" i="9"/>
  <c r="P25" i="1"/>
  <c r="P26" i="1" s="1"/>
  <c r="P27" i="1" s="1"/>
  <c r="P29" i="1" s="1"/>
  <c r="P35" i="1" s="1"/>
  <c r="R24" i="1"/>
  <c r="R25" i="1" s="1"/>
  <c r="R26" i="1" s="1"/>
  <c r="R27" i="1" s="1"/>
  <c r="P23" i="3"/>
  <c r="G29" i="3"/>
  <c r="I34" i="3"/>
  <c r="I50" i="3"/>
  <c r="I51" i="3" s="1"/>
  <c r="Q26" i="1"/>
  <c r="Q27" i="1" s="1"/>
  <c r="Q29" i="1" s="1"/>
  <c r="Q35" i="1" s="1"/>
  <c r="G19" i="3"/>
  <c r="G20" i="3" s="1"/>
  <c r="G22" i="3" s="1"/>
  <c r="I15" i="3"/>
  <c r="H48" i="3"/>
  <c r="H49" i="3" s="1"/>
  <c r="Q15" i="3"/>
  <c r="Q17" i="3" s="1"/>
  <c r="H17" i="3"/>
  <c r="H18" i="3" s="1"/>
  <c r="O23" i="3"/>
  <c r="F29" i="3"/>
  <c r="H32" i="3"/>
  <c r="H33" i="3" s="1"/>
  <c r="I30" i="3"/>
  <c r="I31" i="3" s="1"/>
  <c r="H34" i="3"/>
  <c r="H50" i="3"/>
  <c r="H51" i="3" s="1"/>
  <c r="H24" i="8"/>
  <c r="I22" i="8"/>
  <c r="I24" i="8" s="1"/>
  <c r="F26" i="8"/>
  <c r="F27" i="8" s="1"/>
  <c r="F29" i="8" s="1"/>
  <c r="F35" i="8" s="1"/>
  <c r="H20" i="8"/>
  <c r="I18" i="8"/>
  <c r="I20" i="8" s="1"/>
  <c r="G24" i="8"/>
  <c r="G25" i="8" s="1"/>
  <c r="F28" i="1" l="1"/>
  <c r="F24" i="1"/>
  <c r="F25" i="1" s="1"/>
  <c r="F26" i="1" s="1"/>
  <c r="F27" i="1" s="1"/>
  <c r="F29" i="1" s="1"/>
  <c r="F35" i="1" s="1"/>
  <c r="I25" i="1"/>
  <c r="I28" i="1"/>
  <c r="I24" i="1"/>
  <c r="R28" i="1"/>
  <c r="S23" i="1"/>
  <c r="R29" i="1"/>
  <c r="R35" i="1" s="1"/>
  <c r="H35" i="3"/>
  <c r="H28" i="1"/>
  <c r="H24" i="1"/>
  <c r="H25" i="1" s="1"/>
  <c r="H26" i="1" s="1"/>
  <c r="H27" i="1" s="1"/>
  <c r="H29" i="1" s="1"/>
  <c r="H35" i="1" s="1"/>
  <c r="G28" i="1"/>
  <c r="G24" i="1"/>
  <c r="G25" i="1" s="1"/>
  <c r="G48" i="1"/>
  <c r="F34" i="3"/>
  <c r="F50" i="3"/>
  <c r="F51" i="3" s="1"/>
  <c r="F52" i="3" s="1"/>
  <c r="F30" i="3"/>
  <c r="F31" i="3" s="1"/>
  <c r="H19" i="3"/>
  <c r="H20" i="3"/>
  <c r="H22" i="3" s="1"/>
  <c r="H37" i="3" s="1"/>
  <c r="H52" i="3"/>
  <c r="G50" i="3"/>
  <c r="G51" i="3" s="1"/>
  <c r="G52" i="3" s="1"/>
  <c r="G30" i="3"/>
  <c r="G31" i="3" s="1"/>
  <c r="G34" i="3"/>
  <c r="I32" i="3"/>
  <c r="I33" i="3"/>
  <c r="I35" i="3" s="1"/>
  <c r="I25" i="8"/>
  <c r="I48" i="3"/>
  <c r="I49" i="3" s="1"/>
  <c r="I52" i="3" s="1"/>
  <c r="I17" i="3"/>
  <c r="I18" i="3" s="1"/>
  <c r="R15" i="3"/>
  <c r="R17" i="3" s="1"/>
  <c r="H25" i="8"/>
  <c r="H26" i="8" s="1"/>
  <c r="H27" i="8" s="1"/>
  <c r="H29" i="8" s="1"/>
  <c r="H35" i="8" s="1"/>
  <c r="G26" i="8"/>
  <c r="G27" i="8" s="1"/>
  <c r="G29" i="8" s="1"/>
  <c r="G35" i="8" s="1"/>
  <c r="I26" i="8"/>
  <c r="I27" i="8" s="1"/>
  <c r="I29" i="8" s="1"/>
  <c r="I35" i="8" s="1"/>
  <c r="S28" i="1" l="1"/>
  <c r="S24" i="1"/>
  <c r="S25" i="1" s="1"/>
  <c r="I26" i="1"/>
  <c r="I27" i="1" s="1"/>
  <c r="I29" i="1" s="1"/>
  <c r="I35" i="1" s="1"/>
  <c r="G26" i="1"/>
  <c r="G27" i="1" s="1"/>
  <c r="G29" i="1" s="1"/>
  <c r="G35" i="1" s="1"/>
  <c r="F32" i="3"/>
  <c r="F33" i="3" s="1"/>
  <c r="F35" i="3" s="1"/>
  <c r="F37" i="3" s="1"/>
  <c r="I20" i="3"/>
  <c r="I22" i="3" s="1"/>
  <c r="I37" i="3" s="1"/>
  <c r="I19" i="3"/>
  <c r="G32" i="3"/>
  <c r="G33" i="3" s="1"/>
  <c r="G35" i="3" s="1"/>
  <c r="G37" i="3" s="1"/>
  <c r="C45" i="8"/>
  <c r="C44" i="8"/>
  <c r="C42" i="8"/>
  <c r="C43" i="8"/>
  <c r="C45" i="1" l="1"/>
  <c r="C47" i="1"/>
  <c r="C48" i="1"/>
  <c r="C46" i="1"/>
  <c r="S26" i="1"/>
  <c r="S27" i="1"/>
  <c r="S29" i="1" s="1"/>
  <c r="S35" i="1" s="1"/>
  <c r="E40" i="3"/>
  <c r="E41" i="3"/>
  <c r="E42" i="3"/>
  <c r="E43" i="3"/>
  <c r="C56" i="8"/>
  <c r="I50" i="8"/>
  <c r="F56" i="8"/>
  <c r="I56" i="8"/>
  <c r="F50" i="8"/>
  <c r="C50" i="8"/>
  <c r="G45" i="1" l="1"/>
  <c r="G47" i="1"/>
  <c r="G46" i="1"/>
</calcChain>
</file>

<file path=xl/sharedStrings.xml><?xml version="1.0" encoding="utf-8"?>
<sst xmlns="http://schemas.openxmlformats.org/spreadsheetml/2006/main" count="408" uniqueCount="287">
  <si>
    <t>Chapter 12.  Cash Flow Estimation and Risk Analysis</t>
  </si>
  <si>
    <t>12 Chapter model</t>
  </si>
  <si>
    <t/>
  </si>
  <si>
    <t>This example examines the issue of replacing existing debt with newly issued debt.  At its core, this issue raises two important questions.  First, "Is it profitable to call an outstanding issue and replace it with a new issue?" Second, even if refunding now is profitable, "Would the firm's expected value be further increased if the refunding were postponed until a later date?"</t>
  </si>
  <si>
    <t>Cash flow schedule</t>
  </si>
  <si>
    <t>Since the annual flotation cost tax effects and interest savings occur for the next 20 years, they represent annuities.  To evaluate this project, we must find the present values of these savings.  Using the function wizard and solving for present value, we find that the present values of these annuities are:</t>
  </si>
  <si>
    <t>Annual flotation cost tax savings</t>
  </si>
  <si>
    <t xml:space="preserve">After-tax cost of new debt </t>
  </si>
  <si>
    <t xml:space="preserve">Maturity of the new bond </t>
  </si>
  <si>
    <t>Annual interest savings</t>
  </si>
  <si>
    <t>Our refunding analysis tells us that should the firm proceed with the bond refunding, the project will have a positive net present value. However, unlike traditional capital budgeting decisions, the positive NPV does not tell the firm if it should refund the bond issue now. That decision is dependent upon several external factors, including interest rate expectations.</t>
  </si>
  <si>
    <t>Hence, the net present value of this bond refunding project will be the sum of the initial outlay and the present values of the annual flotation cost tax effects and interest savings.</t>
  </si>
  <si>
    <t>NPV of flotation cost savings</t>
  </si>
  <si>
    <t>This model analyzes decisions related to replacing assets that are currently being used with more efficient assets.  While the mechanics of the analysis are somewhat different from that used for a new project, the concepts are identical.</t>
  </si>
  <si>
    <t xml:space="preserve">Based on the analysis to this point, the project looks risky but acceptable.  There is a good chance that it will produce a positive NPV, but there is also a chance that the NPV could be dramatically higher or lower. </t>
  </si>
  <si>
    <t>We also noted that this project's returns would be highly correlated with the firm's other projects and also with the general stock market.  Thus, its stand-alone risk (which is what we have been analyzing) also reflects its within-firm and market risk.  If this were not true, then we would need to consider risk further.</t>
  </si>
  <si>
    <t>If the bad conditions occur, this will hurt but not bankrupt the firm--this is just one project for a large company.</t>
  </si>
  <si>
    <t>Equipment</t>
  </si>
  <si>
    <t>Tax rate</t>
  </si>
  <si>
    <t>WACC</t>
  </si>
  <si>
    <t>Add back depreciation</t>
  </si>
  <si>
    <t>IRR</t>
  </si>
  <si>
    <t>MIRR</t>
  </si>
  <si>
    <t xml:space="preserve">     Investment Outlay</t>
  </si>
  <si>
    <t>Call premium on the old bond</t>
  </si>
  <si>
    <t>Flotation costs on new issue</t>
  </si>
  <si>
    <t>Immediate tax savings on old flotation cost expense</t>
  </si>
  <si>
    <t>Extra interest paid on old issue</t>
  </si>
  <si>
    <t>Interest earned on short-term investment</t>
  </si>
  <si>
    <t>Total after-tax investment</t>
  </si>
  <si>
    <t>Annual lost tax savings from old issue flotation costs</t>
  </si>
  <si>
    <t>Existing bond issue</t>
  </si>
  <si>
    <t>Call premium (%)</t>
  </si>
  <si>
    <t>Original flotation cost</t>
  </si>
  <si>
    <t>Before-tax</t>
  </si>
  <si>
    <t>After-tax</t>
  </si>
  <si>
    <t>New flotation cost</t>
  </si>
  <si>
    <t>Maturity of original debt</t>
  </si>
  <si>
    <t>Years since old debt issue</t>
  </si>
  <si>
    <t>New bond issue</t>
  </si>
  <si>
    <t>New bond maturity</t>
  </si>
  <si>
    <t>Original coupon rate</t>
  </si>
  <si>
    <t>New cost of debt</t>
  </si>
  <si>
    <t>Annual Interest Savings</t>
  </si>
  <si>
    <t>PV of interest savings</t>
  </si>
  <si>
    <t>+</t>
  </si>
  <si>
    <t xml:space="preserve">  +</t>
  </si>
  <si>
    <t>Input Data (in thousands of dollars)</t>
  </si>
  <si>
    <t>Calculating the annual flotation cost tax effects and the annual interest savings</t>
  </si>
  <si>
    <t>NPV of annual interest savings</t>
  </si>
  <si>
    <t>Years</t>
  </si>
  <si>
    <t>Sales price</t>
  </si>
  <si>
    <t>NPV</t>
  </si>
  <si>
    <t>Base Case</t>
  </si>
  <si>
    <t>Units</t>
  </si>
  <si>
    <t>Variable</t>
  </si>
  <si>
    <t>Price</t>
  </si>
  <si>
    <t>Best Case</t>
  </si>
  <si>
    <t>Probability</t>
  </si>
  <si>
    <t>Expected NPV:</t>
  </si>
  <si>
    <t>Standard Deviation:</t>
  </si>
  <si>
    <t>Coefficient of Variation:</t>
  </si>
  <si>
    <t>Variable cost per unit</t>
  </si>
  <si>
    <t>Changing the WACC would also change the scenario analysis.  Here are new figures:</t>
  </si>
  <si>
    <t>Units Sold</t>
  </si>
  <si>
    <t>Range</t>
  </si>
  <si>
    <t>Deviation</t>
  </si>
  <si>
    <t>Probability Density</t>
  </si>
  <si>
    <t>After-tax cost of new debt</t>
  </si>
  <si>
    <t>Short-term interest rate</t>
  </si>
  <si>
    <t>Bond Refunding NPV  =</t>
  </si>
  <si>
    <t>Annual tax savings from new issue flotation costs</t>
  </si>
  <si>
    <t>Prob:</t>
  </si>
  <si>
    <t>Base</t>
  </si>
  <si>
    <t>Worst Case</t>
  </si>
  <si>
    <t>Prob.</t>
  </si>
  <si>
    <t>Predicted Cash Flow for Each Year</t>
  </si>
  <si>
    <t xml:space="preserve">    Investment Outlays at Time = 0</t>
  </si>
  <si>
    <t>CAPEX = Building and Equipment</t>
  </si>
  <si>
    <t>ΔNOWC = Additional net operating working 
                capital needed</t>
  </si>
  <si>
    <t>Case</t>
  </si>
  <si>
    <t>Cash flows under this case</t>
  </si>
  <si>
    <t>Worst</t>
  </si>
  <si>
    <t>Best</t>
  </si>
  <si>
    <t xml:space="preserve">    Operating Cash Flows Over the Project's 
    Life (Time = 1 - 4)</t>
  </si>
  <si>
    <t>Unit sales</t>
  </si>
  <si>
    <t>WC</t>
  </si>
  <si>
    <t>Sales revenues = Units × Price</t>
  </si>
  <si>
    <t>VC/unit</t>
  </si>
  <si>
    <t>Variable costs  = Units × Cost/unit</t>
  </si>
  <si>
    <t>FC</t>
  </si>
  <si>
    <t>Fixed operating costs except depr'n</t>
  </si>
  <si>
    <t>Total operating costs</t>
  </si>
  <si>
    <t>EBIT (or Operating income)</t>
  </si>
  <si>
    <t xml:space="preserve">Taxes on Operating income </t>
  </si>
  <si>
    <r>
      <t xml:space="preserve">EBIT(1 </t>
    </r>
    <r>
      <rPr>
        <b/>
        <sz val="10"/>
        <rFont val="Calibri"/>
        <family val="2"/>
      </rPr>
      <t>−</t>
    </r>
    <r>
      <rPr>
        <b/>
        <sz val="10"/>
        <rFont val="Arial"/>
        <family val="2"/>
      </rPr>
      <t xml:space="preserve"> T) = After-tax project operating income</t>
    </r>
  </si>
  <si>
    <r>
      <t xml:space="preserve">EBIT(1 </t>
    </r>
    <r>
      <rPr>
        <b/>
        <sz val="10"/>
        <rFont val="Calibri"/>
        <family val="2"/>
      </rPr>
      <t>−</t>
    </r>
    <r>
      <rPr>
        <b/>
        <sz val="10"/>
        <rFont val="Arial"/>
        <family val="2"/>
      </rPr>
      <t xml:space="preserve"> T) + Depreciation</t>
    </r>
  </si>
  <si>
    <t xml:space="preserve">  Terminal Cash Flows at Time = 4</t>
  </si>
  <si>
    <t>Salvage value (taxed as ordinary income)</t>
  </si>
  <si>
    <r>
      <t xml:space="preserve">Tax on salvage value = 0.4 </t>
    </r>
    <r>
      <rPr>
        <b/>
        <sz val="10"/>
        <rFont val="Calibri"/>
        <family val="2"/>
      </rPr>
      <t>×</t>
    </r>
    <r>
      <rPr>
        <b/>
        <sz val="10"/>
        <rFont val="Arial"/>
        <family val="2"/>
      </rPr>
      <t xml:space="preserve"> (SV </t>
    </r>
    <r>
      <rPr>
        <b/>
        <sz val="10"/>
        <rFont val="Calibri"/>
        <family val="2"/>
      </rPr>
      <t>−</t>
    </r>
    <r>
      <rPr>
        <b/>
        <sz val="10"/>
        <rFont val="Arial"/>
        <family val="2"/>
      </rPr>
      <t xml:space="preserve"> BV of 
                                      equipment at t = 4)</t>
    </r>
  </si>
  <si>
    <t>After-tax salvage value</t>
  </si>
  <si>
    <t>ΔNOWC = Recovery of net operating working 
                capital</t>
  </si>
  <si>
    <t xml:space="preserve">    Depreciation</t>
  </si>
  <si>
    <t>Accelerated:</t>
  </si>
  <si>
    <t>Cost:</t>
  </si>
  <si>
    <t>Rate:</t>
  </si>
  <si>
    <t>Depreciation:</t>
  </si>
  <si>
    <t xml:space="preserve">   Project Evaluation @ WACC =</t>
  </si>
  <si>
    <t>Accelerated</t>
  </si>
  <si>
    <t xml:space="preserve">NPV </t>
  </si>
  <si>
    <t>Payback</t>
  </si>
  <si>
    <t>Data tables used to make sensitivity graph:</t>
  </si>
  <si>
    <t>Sales Price</t>
  </si>
  <si>
    <t>Unit Sales</t>
  </si>
  <si>
    <t>VC/Unit</t>
  </si>
  <si>
    <t>from Base</t>
  </si>
  <si>
    <t>Fixed Costs</t>
  </si>
  <si>
    <t>Figure 12.1   Sensitivity Graph for Project S</t>
  </si>
  <si>
    <t>NPV With Variables At Different Deviations From Base</t>
  </si>
  <si>
    <t>Notes:</t>
  </si>
  <si>
    <t>1.  When all of the inputs are set at their base case levels, their deviations from base are all zero, 
     and the NPV is $78.82.  So, the vertical axis intercept is at $78.82.</t>
  </si>
  <si>
    <t xml:space="preserve">2.  If the sales price is set 25% above its expected $2 price and all other variables are set at 
     their expected values, then the NPV would be +$2,526.86. If the price is set 25% below its 
     expected $2 price, then the NPV would be -$2,369.22.  All the other NPVs shown in the table 
     were found similarly. Excel Data Tables were used to streamline the calculations.       
</t>
  </si>
  <si>
    <t>3.  Note that the best- and worst-case NPVs are different from those in the next section, which 
     shows scenario analysis.  In scenario analysis, all the variables are 25% above or below their 
     expected levels, so the best- and worst-case NPVs are much higher or lower than those in 
     the sensitivity analysis, where only one variable is set at its best or worst level.</t>
  </si>
  <si>
    <t>Figure 12.2      Scenario Analysis for Project S</t>
  </si>
  <si>
    <t>Cash Flows Under Alternative Scenarios</t>
  </si>
  <si>
    <t xml:space="preserve">Expected NPV </t>
  </si>
  <si>
    <t>Coefficient of Variation (CV) = Std Dev/Expected NPV</t>
  </si>
  <si>
    <t>Discrete Probabilities</t>
  </si>
  <si>
    <t>50%</t>
  </si>
  <si>
    <t>25%</t>
  </si>
  <si>
    <t xml:space="preserve">           0 $78.82</t>
  </si>
  <si>
    <t xml:space="preserve">Continuous Probabilities  </t>
  </si>
  <si>
    <t>REFUNDING OPERATIONS (WEB APPENDIX 12B)</t>
  </si>
  <si>
    <t>The net present value method is used to analyze the advantages of refunding.  The firm should refund only if the present value of the savings exceeds the cost of the refunding.  The after-tax cost of debt should be used as the discount rate, since there is relative certainty to the cash flows to be received.  Using the example laid out in Web Appendix 12B, we will now evaluate such a scenario.</t>
  </si>
  <si>
    <t>Table 12B.1  Bond Refunding Analysis</t>
  </si>
  <si>
    <t xml:space="preserve">     Annual Flotation Cost Tax Effects: t = 1 to 20</t>
  </si>
  <si>
    <t>Annual net flotation cost tax savings</t>
  </si>
  <si>
    <t xml:space="preserve">     Annual Interest Savings Due to Refunding: t = 1 to 20</t>
  </si>
  <si>
    <t>Annual interest on old bond</t>
  </si>
  <si>
    <t>Annual interest on new bond</t>
  </si>
  <si>
    <t>Net annual interest savings</t>
  </si>
  <si>
    <t>Annual Flotation Cost Tax Effects</t>
  </si>
  <si>
    <t xml:space="preserve">Initial Outlay     </t>
  </si>
  <si>
    <t xml:space="preserve">PV of flotation costs  </t>
  </si>
  <si>
    <t>Part I.  Traditional Analysis</t>
  </si>
  <si>
    <t>WACC =</t>
  </si>
  <si>
    <t>Project C</t>
  </si>
  <si>
    <t xml:space="preserve">       0</t>
  </si>
  <si>
    <t xml:space="preserve">        6</t>
  </si>
  <si>
    <t>Time Line:</t>
  </si>
  <si>
    <r>
      <t>NPV</t>
    </r>
    <r>
      <rPr>
        <b/>
        <vertAlign val="subscript"/>
        <sz val="10"/>
        <color indexed="16"/>
        <rFont val="Arial"/>
        <family val="2"/>
      </rPr>
      <t>C</t>
    </r>
    <r>
      <rPr>
        <b/>
        <sz val="10"/>
        <color indexed="16"/>
        <rFont val="Arial"/>
        <family val="2"/>
      </rPr>
      <t xml:space="preserve"> = </t>
    </r>
  </si>
  <si>
    <r>
      <t>IRR</t>
    </r>
    <r>
      <rPr>
        <b/>
        <vertAlign val="subscript"/>
        <sz val="10"/>
        <color indexed="16"/>
        <rFont val="Arial"/>
        <family val="2"/>
      </rPr>
      <t>C</t>
    </r>
    <r>
      <rPr>
        <b/>
        <sz val="10"/>
        <color indexed="16"/>
        <rFont val="Arial"/>
        <family val="2"/>
      </rPr>
      <t xml:space="preserve"> = </t>
    </r>
  </si>
  <si>
    <t>Project F</t>
  </si>
  <si>
    <r>
      <t>NPV</t>
    </r>
    <r>
      <rPr>
        <b/>
        <vertAlign val="subscript"/>
        <sz val="10"/>
        <color indexed="16"/>
        <rFont val="Arial"/>
        <family val="2"/>
      </rPr>
      <t>F</t>
    </r>
    <r>
      <rPr>
        <b/>
        <sz val="10"/>
        <color indexed="16"/>
        <rFont val="Arial"/>
        <family val="2"/>
      </rPr>
      <t xml:space="preserve"> =</t>
    </r>
  </si>
  <si>
    <r>
      <t>IRR</t>
    </r>
    <r>
      <rPr>
        <b/>
        <vertAlign val="subscript"/>
        <sz val="10"/>
        <color indexed="16"/>
        <rFont val="Arial"/>
        <family val="2"/>
      </rPr>
      <t>F</t>
    </r>
    <r>
      <rPr>
        <b/>
        <sz val="10"/>
        <color indexed="16"/>
        <rFont val="Arial"/>
        <family val="2"/>
      </rPr>
      <t xml:space="preserve"> = </t>
    </r>
  </si>
  <si>
    <t>Here it looks as though Project C should be accepted, but that is incorrect, because, as demonstrated below, Project F can be selected, then repeated at the end of its life, and the result is a higher "extended life" NPV.</t>
  </si>
  <si>
    <t>Part II.  Replacement Chain Adjustment</t>
  </si>
  <si>
    <r>
      <t>IRR</t>
    </r>
    <r>
      <rPr>
        <b/>
        <vertAlign val="subscript"/>
        <sz val="10"/>
        <color indexed="16"/>
        <rFont val="Arial"/>
        <family val="2"/>
      </rPr>
      <t>C</t>
    </r>
    <r>
      <rPr>
        <b/>
        <sz val="10"/>
        <color indexed="16"/>
        <rFont val="Arial"/>
        <family val="2"/>
      </rPr>
      <t xml:space="preserve"> =</t>
    </r>
  </si>
  <si>
    <t>Project F: Replacement Chain modification to create common life.</t>
  </si>
  <si>
    <r>
      <t>IRR</t>
    </r>
    <r>
      <rPr>
        <b/>
        <vertAlign val="subscript"/>
        <sz val="10"/>
        <color indexed="16"/>
        <rFont val="Arial"/>
        <family val="2"/>
      </rPr>
      <t>F</t>
    </r>
    <r>
      <rPr>
        <b/>
        <sz val="10"/>
        <color indexed="16"/>
        <rFont val="Arial"/>
        <family val="2"/>
      </rPr>
      <t xml:space="preserve"> =</t>
    </r>
  </si>
  <si>
    <t>An alternative method for dealing with projects like F and C calls for first finding their basic NPVs and then calculating the annuity payments whose PVs are the same as those NPVs.  Assuming that the projects can be repeated, then the one with the higher "equivalent annual annuity, or EAA," is the better one.</t>
  </si>
  <si>
    <t>Part III. Equivalent Annual Annuity (EAA) Method</t>
  </si>
  <si>
    <t>1.  Find the NPV of each first cycle investment as was done in Part I above.</t>
  </si>
  <si>
    <t>PV:</t>
  </si>
  <si>
    <t>N:</t>
  </si>
  <si>
    <t>PMT = EAA:</t>
  </si>
  <si>
    <r>
      <t xml:space="preserve">EXPANSION PROJECT ANALYSIS </t>
    </r>
    <r>
      <rPr>
        <b/>
        <i/>
        <sz val="9"/>
        <color indexed="16"/>
        <rFont val="Arial"/>
        <family val="2"/>
      </rPr>
      <t>(Section 12-2)</t>
    </r>
  </si>
  <si>
    <t xml:space="preserve">Cash flows based on Straight Line Depr'n </t>
  </si>
  <si>
    <t>CAPEX = Building and equipment</t>
  </si>
  <si>
    <t>ΔNOWC = Additional net operating working 
                capital</t>
  </si>
  <si>
    <r>
      <t xml:space="preserve">   </t>
    </r>
    <r>
      <rPr>
        <b/>
        <i/>
        <sz val="10"/>
        <color indexed="16"/>
        <rFont val="Arial"/>
        <family val="2"/>
      </rPr>
      <t xml:space="preserve"> Operating Cash Flows Over the Project's 
    Life (Time = 1 - 4)</t>
    </r>
  </si>
  <si>
    <t xml:space="preserve">  Operating Cash Flows Over the Project's 
  Life (Time = 1 - 4)</t>
  </si>
  <si>
    <r>
      <t xml:space="preserve">Sales revenues = Units </t>
    </r>
    <r>
      <rPr>
        <b/>
        <sz val="10"/>
        <rFont val="Calibri"/>
        <family val="2"/>
      </rPr>
      <t>×</t>
    </r>
    <r>
      <rPr>
        <b/>
        <sz val="10"/>
        <rFont val="Arial"/>
        <family val="2"/>
      </rPr>
      <t xml:space="preserve"> Price</t>
    </r>
  </si>
  <si>
    <r>
      <t xml:space="preserve">Variable costs  = Units </t>
    </r>
    <r>
      <rPr>
        <sz val="10"/>
        <rFont val="Calibri"/>
        <family val="2"/>
      </rPr>
      <t>×</t>
    </r>
    <r>
      <rPr>
        <sz val="15"/>
        <rFont val="Arial"/>
        <family val="2"/>
      </rPr>
      <t xml:space="preserve"> </t>
    </r>
    <r>
      <rPr>
        <sz val="10"/>
        <rFont val="Arial"/>
        <family val="2"/>
      </rPr>
      <t>Cost/Unit</t>
    </r>
  </si>
  <si>
    <r>
      <t xml:space="preserve">Depreciation: </t>
    </r>
    <r>
      <rPr>
        <b/>
        <u/>
        <sz val="10"/>
        <rFont val="Arial"/>
        <family val="2"/>
      </rPr>
      <t>Accelerated</t>
    </r>
    <r>
      <rPr>
        <b/>
        <sz val="10"/>
        <rFont val="Arial"/>
        <family val="2"/>
      </rPr>
      <t xml:space="preserve"> from table below</t>
    </r>
  </si>
  <si>
    <t xml:space="preserve">Taxes on operating income </t>
  </si>
  <si>
    <t xml:space="preserve">Taxes on operating income (40%) </t>
  </si>
  <si>
    <r>
      <t xml:space="preserve">EBIT (1 </t>
    </r>
    <r>
      <rPr>
        <b/>
        <sz val="10"/>
        <rFont val="Calibri"/>
        <family val="2"/>
      </rPr>
      <t>−</t>
    </r>
    <r>
      <rPr>
        <b/>
        <sz val="10"/>
        <rFont val="Arial"/>
        <family val="2"/>
      </rPr>
      <t xml:space="preserve"> T) = After-tax project operating income</t>
    </r>
  </si>
  <si>
    <t xml:space="preserve">    Terminal Cash Flows at Time = 4</t>
  </si>
  <si>
    <t>Tax on salvage value = 0.4 x (SV - BV of 
                                  equipment at t = 4)</t>
  </si>
  <si>
    <r>
      <t xml:space="preserve">Project free cash flows = EBIT(1 </t>
    </r>
    <r>
      <rPr>
        <b/>
        <sz val="10"/>
        <rFont val="Calibri"/>
        <family val="2"/>
      </rPr>
      <t>−</t>
    </r>
    <r>
      <rPr>
        <b/>
        <sz val="10"/>
        <rFont val="Arial"/>
        <family val="2"/>
      </rPr>
      <t xml:space="preserve"> T) + DEP 
                                        </t>
    </r>
    <r>
      <rPr>
        <b/>
        <sz val="10"/>
        <rFont val="Calibri"/>
        <family val="2"/>
      </rPr>
      <t>−</t>
    </r>
    <r>
      <rPr>
        <b/>
        <sz val="10"/>
        <rFont val="Arial"/>
        <family val="2"/>
      </rPr>
      <t xml:space="preserve"> CAPEX </t>
    </r>
    <r>
      <rPr>
        <b/>
        <sz val="10"/>
        <rFont val="Calibri"/>
        <family val="2"/>
      </rPr>
      <t>−</t>
    </r>
    <r>
      <rPr>
        <b/>
        <sz val="10"/>
        <rFont val="Arial"/>
        <family val="2"/>
      </rPr>
      <t xml:space="preserve"> ΔNOWC</t>
    </r>
  </si>
  <si>
    <t>Rate</t>
  </si>
  <si>
    <t>Depreciation</t>
  </si>
  <si>
    <t xml:space="preserve">    Alternative depreciation</t>
  </si>
  <si>
    <t>Straight line</t>
  </si>
  <si>
    <r>
      <t xml:space="preserve">   </t>
    </r>
    <r>
      <rPr>
        <b/>
        <i/>
        <sz val="10"/>
        <color indexed="16"/>
        <rFont val="Arial"/>
        <family val="2"/>
      </rPr>
      <t>Project Evaluation @ WACC =</t>
    </r>
  </si>
  <si>
    <t xml:space="preserve">Formulas </t>
  </si>
  <si>
    <t>2.  If the firm owned assets that would be used for the project but would be sold if the project is 
     not accepted, the after-tax value of those assets would be shown as an "opportunity cost" in 
     the "Investment Outlays" section.</t>
  </si>
  <si>
    <t>4.  If the firm had previously incurred costs associated with this project, but those costs could not 
     be recovered regardless of whether this project is accepted, then they are "sunk costs" and 
     should not enter the analysis.</t>
  </si>
  <si>
    <r>
      <t>The main model, on this tab, evaluates Project S.  Table 12.1 divides the project's cash flows into three components.  (1) The initial investments that are required at t = 0.  These include capital expenditures and changes in net operating working capital (</t>
    </r>
    <r>
      <rPr>
        <b/>
        <sz val="10"/>
        <color indexed="18"/>
        <rFont val="Calibri"/>
        <family val="2"/>
      </rPr>
      <t>Δ</t>
    </r>
    <r>
      <rPr>
        <b/>
        <sz val="10"/>
        <color indexed="18"/>
        <rFont val="Arial"/>
        <family val="2"/>
      </rPr>
      <t>NOWC).  (2) The operating cash flows the company receives over the life of the project.  (3) The terminal cash flows that are realized when the project is completed.  These cash flows include the after-tax salvage value of the equipment and the recovery of the NOWC.</t>
    </r>
  </si>
  <si>
    <r>
      <t xml:space="preserve">EBIT (1 </t>
    </r>
    <r>
      <rPr>
        <b/>
        <sz val="10"/>
        <color indexed="18"/>
        <rFont val="Calibri"/>
        <family val="2"/>
      </rPr>
      <t>−</t>
    </r>
    <r>
      <rPr>
        <b/>
        <sz val="10"/>
        <color indexed="18"/>
        <rFont val="Arial"/>
        <family val="2"/>
      </rPr>
      <t xml:space="preserve"> T) + Depreciation</t>
    </r>
  </si>
  <si>
    <t>ΔNOWC = Recovery of net operating 
                 working capital</t>
  </si>
  <si>
    <t>Depr'n: straight line from table F43:I43</t>
  </si>
  <si>
    <r>
      <t xml:space="preserve">    </t>
    </r>
    <r>
      <rPr>
        <b/>
        <i/>
        <sz val="10"/>
        <color indexed="18"/>
        <rFont val="Arial"/>
        <family val="2"/>
      </rPr>
      <t>Depreciation</t>
    </r>
  </si>
  <si>
    <t xml:space="preserve">     Based on the 10% WACC, the project's NPV is $78.82.  Since the NPV is positive and both the IRR and MIRR exceed the WACC, we tentatively conclude that the project should be accepted.  Note, though, that no risk analysis has been conducted.  It is possible that Allied's managers, after appraising the project's risk, might conclude that its projected return is insufficient  to compensate for the risk and thus reject it.  Also, senior managers might conclude that the project is inconsistent with the firm's long-run strategic plan.  Finally, bringing in real options, might change the project's risk/return profile.</t>
  </si>
  <si>
    <t xml:space="preserve">     All dollars (expect for sales and costs per unit values) and unit sales are shown in thousands. Data are taken from Chapter 12. </t>
  </si>
  <si>
    <t xml:space="preserve">This worksheet contains a model to analyze Allied's new expansion project, Project S. Models for analyzing replacement decisions,  risk analysis, and an abandonment option discussed within the text are provided on separate worksheets.  In addition, models that analyze bond refunding, mutually exclusive projects with unequal lives, and other real options that are discussed in Web Appendixes are also provided.  Access those models by pressing the appropriate TAB key at the bottom of the screen. </t>
  </si>
  <si>
    <t>3.  If this project would reduce sales and cash flows from one of the firm's other divisions, then 
     the after-tax cannibalization effect, or "externality," would be deducted from the operating 
     cash flows shown on Row 29.</t>
  </si>
  <si>
    <r>
      <t xml:space="preserve">Part I.  Free Cash Flows Before Replacement: 
          Old Machine (CAPEX and </t>
    </r>
    <r>
      <rPr>
        <b/>
        <sz val="10"/>
        <color indexed="16"/>
        <rFont val="Arial"/>
        <family val="2"/>
      </rPr>
      <t>Δ</t>
    </r>
    <r>
      <rPr>
        <b/>
        <i/>
        <sz val="10"/>
        <color indexed="16"/>
        <rFont val="Arial"/>
        <family val="2"/>
      </rPr>
      <t>NOWC = 0)</t>
    </r>
  </si>
  <si>
    <t>Sales revenues</t>
  </si>
  <si>
    <t>Costs except depreciation</t>
  </si>
  <si>
    <t>Costs except depreciation:</t>
  </si>
  <si>
    <t>Old</t>
  </si>
  <si>
    <t>New</t>
  </si>
  <si>
    <t xml:space="preserve">  Total operating costs</t>
  </si>
  <si>
    <t>∆</t>
  </si>
  <si>
    <t xml:space="preserve">Taxes </t>
  </si>
  <si>
    <r>
      <t xml:space="preserve">EBIT (1 </t>
    </r>
    <r>
      <rPr>
        <b/>
        <sz val="10"/>
        <rFont val="Calibri"/>
        <family val="2"/>
      </rPr>
      <t>−</t>
    </r>
    <r>
      <rPr>
        <b/>
        <sz val="10"/>
        <rFont val="Arial"/>
        <family val="2"/>
      </rPr>
      <t xml:space="preserve"> T) = After-tax operating income</t>
    </r>
  </si>
  <si>
    <r>
      <t xml:space="preserve">Free cash flows before replacement
    EBIT(1 </t>
    </r>
    <r>
      <rPr>
        <b/>
        <sz val="10"/>
        <rFont val="Calibri"/>
        <family val="2"/>
      </rPr>
      <t>−</t>
    </r>
    <r>
      <rPr>
        <b/>
        <sz val="10"/>
        <rFont val="Arial"/>
        <family val="2"/>
      </rPr>
      <t xml:space="preserve"> T) + DEP </t>
    </r>
    <r>
      <rPr>
        <b/>
        <sz val="10"/>
        <rFont val="Calibri"/>
        <family val="2"/>
      </rPr>
      <t>−</t>
    </r>
    <r>
      <rPr>
        <b/>
        <sz val="10"/>
        <rFont val="Arial"/>
        <family val="2"/>
      </rPr>
      <t xml:space="preserve"> CAPEX − ΔNOWC</t>
    </r>
  </si>
  <si>
    <r>
      <t>Part II.  Free Cash Flows After Replacement: 
           New Machine (</t>
    </r>
    <r>
      <rPr>
        <b/>
        <sz val="10"/>
        <color indexed="16"/>
        <rFont val="Arial"/>
        <family val="2"/>
      </rPr>
      <t>Δ</t>
    </r>
    <r>
      <rPr>
        <b/>
        <i/>
        <sz val="10"/>
        <color indexed="16"/>
        <rFont val="Arial"/>
        <family val="2"/>
      </rPr>
      <t>NOWC = 0)</t>
    </r>
  </si>
  <si>
    <t>New machine cost</t>
  </si>
  <si>
    <t>After-tax salvage value, old machine</t>
  </si>
  <si>
    <t xml:space="preserve"> CAPEX</t>
  </si>
  <si>
    <t xml:space="preserve">Rates for new machine: </t>
  </si>
  <si>
    <r>
      <t xml:space="preserve">Depr'n on new machine: Rate </t>
    </r>
    <r>
      <rPr>
        <b/>
        <sz val="10"/>
        <color indexed="18"/>
        <rFont val="Calibri"/>
        <family val="2"/>
      </rPr>
      <t>×</t>
    </r>
    <r>
      <rPr>
        <b/>
        <sz val="10"/>
        <color indexed="18"/>
        <rFont val="Arial"/>
        <family val="2"/>
      </rPr>
      <t xml:space="preserve"> Basis: </t>
    </r>
  </si>
  <si>
    <r>
      <t xml:space="preserve">EBIT(1 </t>
    </r>
    <r>
      <rPr>
        <b/>
        <sz val="10"/>
        <rFont val="Calibri"/>
        <family val="2"/>
      </rPr>
      <t xml:space="preserve"> −</t>
    </r>
    <r>
      <rPr>
        <b/>
        <sz val="10"/>
        <rFont val="Arial"/>
        <family val="2"/>
      </rPr>
      <t xml:space="preserve"> T) = After-tax operating income</t>
    </r>
  </si>
  <si>
    <r>
      <t xml:space="preserve">Free cash flows after replacement
     EBIT(1 </t>
    </r>
    <r>
      <rPr>
        <b/>
        <sz val="10"/>
        <rFont val="Calibri"/>
        <family val="2"/>
      </rPr>
      <t>−</t>
    </r>
    <r>
      <rPr>
        <b/>
        <sz val="10"/>
        <rFont val="Arial"/>
        <family val="2"/>
      </rPr>
      <t xml:space="preserve"> T) + DEP </t>
    </r>
    <r>
      <rPr>
        <b/>
        <sz val="10"/>
        <rFont val="Calibri"/>
        <family val="2"/>
      </rPr>
      <t>−</t>
    </r>
    <r>
      <rPr>
        <b/>
        <sz val="10"/>
        <rFont val="Arial"/>
        <family val="2"/>
      </rPr>
      <t xml:space="preserve"> CAPEX </t>
    </r>
    <r>
      <rPr>
        <b/>
        <sz val="10"/>
        <rFont val="Calibri"/>
        <family val="2"/>
      </rPr>
      <t>−</t>
    </r>
    <r>
      <rPr>
        <b/>
        <sz val="10"/>
        <rFont val="Arial"/>
        <family val="2"/>
      </rPr>
      <t xml:space="preserve"> ΔNOWC</t>
    </r>
  </si>
  <si>
    <r>
      <t xml:space="preserve">Incremental CFs = CF After </t>
    </r>
    <r>
      <rPr>
        <b/>
        <sz val="10"/>
        <color indexed="16"/>
        <rFont val="Calibri"/>
        <family val="2"/>
      </rPr>
      <t>—</t>
    </r>
    <r>
      <rPr>
        <b/>
        <i/>
        <sz val="10"/>
        <color indexed="16"/>
        <rFont val="Arial"/>
        <family val="2"/>
      </rPr>
      <t xml:space="preserve"> CF Before</t>
    </r>
  </si>
  <si>
    <t>NPV =</t>
  </si>
  <si>
    <t>IRR =</t>
  </si>
  <si>
    <t>MIRR =</t>
  </si>
  <si>
    <t>Payback =</t>
  </si>
  <si>
    <t>Salvage value, old machine</t>
  </si>
  <si>
    <t>Net cost of new machine</t>
  </si>
  <si>
    <r>
      <t xml:space="preserve">Cost savings = Old </t>
    </r>
    <r>
      <rPr>
        <b/>
        <sz val="10"/>
        <rFont val="Calibri"/>
        <family val="2"/>
      </rPr>
      <t>—</t>
    </r>
    <r>
      <rPr>
        <b/>
        <sz val="10"/>
        <rFont val="Arial"/>
        <family val="2"/>
      </rPr>
      <t xml:space="preserve"> New</t>
    </r>
  </si>
  <si>
    <r>
      <t xml:space="preserve"> A-T savings = Cost savings </t>
    </r>
    <r>
      <rPr>
        <b/>
        <sz val="10"/>
        <rFont val="Calibri"/>
        <family val="2"/>
      </rPr>
      <t>×</t>
    </r>
    <r>
      <rPr>
        <b/>
        <sz val="10"/>
        <rFont val="Arial"/>
        <family val="2"/>
      </rPr>
      <t xml:space="preserve"> (1 </t>
    </r>
    <r>
      <rPr>
        <b/>
        <sz val="10"/>
        <rFont val="Calibri"/>
        <family val="2"/>
      </rPr>
      <t>—</t>
    </r>
    <r>
      <rPr>
        <b/>
        <sz val="10"/>
        <rFont val="Arial"/>
        <family val="2"/>
      </rPr>
      <t xml:space="preserve"> Tax rate) </t>
    </r>
  </si>
  <si>
    <r>
      <t xml:space="preserve">∆ Depreciation = (New </t>
    </r>
    <r>
      <rPr>
        <b/>
        <sz val="10"/>
        <rFont val="Calibri"/>
        <family val="2"/>
      </rPr>
      <t>—</t>
    </r>
    <r>
      <rPr>
        <b/>
        <sz val="10"/>
        <rFont val="Arial"/>
        <family val="2"/>
      </rPr>
      <t xml:space="preserve"> Old)</t>
    </r>
  </si>
  <si>
    <r>
      <t xml:space="preserve">Depr'n tax savings = ∆ Depreciation </t>
    </r>
    <r>
      <rPr>
        <b/>
        <sz val="10"/>
        <rFont val="Calibri"/>
        <family val="2"/>
      </rPr>
      <t>×</t>
    </r>
    <r>
      <rPr>
        <b/>
        <sz val="10"/>
        <rFont val="Arial"/>
        <family val="2"/>
      </rPr>
      <t xml:space="preserve"> Tax rate </t>
    </r>
  </si>
  <si>
    <t>Incremental CFs = A-T cost savings + Depr'n 
                              tax savings</t>
  </si>
  <si>
    <t>The Cash Flow time line is the sum of the net (red) numbers.</t>
  </si>
  <si>
    <r>
      <t xml:space="preserve"> REPLACEMENT ANALYSIS </t>
    </r>
    <r>
      <rPr>
        <b/>
        <i/>
        <sz val="10"/>
        <color indexed="16"/>
        <rFont val="Arial"/>
        <family val="2"/>
      </rPr>
      <t>(Section 12-3)</t>
    </r>
  </si>
  <si>
    <t>Table 12.1 Cash Flow Estimation and Analysis for Expansion Project S</t>
  </si>
  <si>
    <t>Table 12.2 Replacement Project R</t>
  </si>
  <si>
    <t xml:space="preserve">     For replacement projects, we must find cash flow differentials between the new and old projects and these differentials are the incremental cash flows that we analyze.  The data used in this model are taken from Chapter 12, Section 12-3.</t>
  </si>
  <si>
    <t>Setup for scenarios.  The zeros in Column L are changed manually, which changes values of the cash flows to get changing NPVs.  Note that 0% is the Base Case, +25% is good for Units and Price, whilce -25% is good for the other variables.  The reverse is true for the Worst Case.  For scenarios, change all the variables.  You can copy and paste the %'s in Columns Q, R, and S into Column L to create the scenarios.  End by pasting the Base Case zeros back in Column L.</t>
  </si>
  <si>
    <r>
      <t xml:space="preserve"> RISK ANALYSIS IN CAPITAL BUDGETING </t>
    </r>
    <r>
      <rPr>
        <b/>
        <i/>
        <sz val="10"/>
        <color indexed="16"/>
        <rFont val="Arial"/>
        <family val="2"/>
      </rPr>
      <t>(Section 12-4)</t>
    </r>
  </si>
  <si>
    <t xml:space="preserve">     The 7 variables with blue numbers are the ones that vary.  Don't change them manually--change by altering the 0%'s off to the right in Column L.</t>
  </si>
  <si>
    <r>
      <t>Standard Deviation  (</t>
    </r>
    <r>
      <rPr>
        <b/>
        <sz val="10"/>
        <color indexed="16"/>
        <rFont val="Symbol"/>
        <family val="1"/>
        <charset val="2"/>
      </rPr>
      <t>s</t>
    </r>
    <r>
      <rPr>
        <b/>
        <sz val="10"/>
        <color indexed="16"/>
        <rFont val="Arial"/>
        <family val="2"/>
      </rPr>
      <t>)</t>
    </r>
  </si>
  <si>
    <t>Risk in capital budgeting essentially means the probability that the actual outcome will be much worse than the expected outcome. For example, if there were a high probability that the $78.82 expected NPV as calculated previously will turn out to be quite negative, then the project would be classified as relatively risky.  The reason for a worse-than-expected outcome is, typically, that sales are lower than expected, costs are higher than expected, or the project turns out to have a higher than expected initial cost.  In other words, if the assumed inputs turn out to be worse than expected, then the output will likewise be worse than expected.  We use Excel to examine the project's sensitivity to changes in the input variables.</t>
  </si>
  <si>
    <t xml:space="preserve">     The following cash flow analysis is set up to let variables vary to make sensitivity graphs.  The cash flows and initial analysis is a reproduction of Table 12.1, put here for convenience.  We then use the NPV formula to make the data tables, which are used to make the graphs.</t>
  </si>
  <si>
    <t>Note too that NPV can change dramatically if the key input variables change, but  we do not know how much the variables are likely to change.  For example, if we were buying components under a fixed price contract, then variable costs might be locked in and not likely to rise by more than say 5%, and we might have a firm contract to sell the projected number of units at the indicated price per unit.  In that case, the "bad conditions" would not materialize, and a positive NPV would be pretty well guaranteed. We bring probabilities of different conditions into the analysis when we discuss Scenario Analysis.</t>
  </si>
  <si>
    <t>SCENARIO ANALYSIS</t>
  </si>
  <si>
    <t>SENSITIVITY ANALYSIS</t>
  </si>
  <si>
    <t xml:space="preserve"> We see from the graph and the tables that NPV is quite sensitive to changes in the sales price, fairly sensitive to changes in variable costs, a bit less sensitive to units sold and fixed costs, but not very sensitive to changes in the equipment cost or the WACC.  </t>
  </si>
  <si>
    <t>Scenario analysis extends risk analysis in two ways: (1) It allows us to change more than one variable at a time, hence to see the combined effects of changes in several variables, and  (2) It allows us to bring in the probabilities of changes in the key variables.  In this section we do a scenario analysis for Project S.  The setup for the scenario analysis is discussed at the top of the screen, Row 10.  Here we change the values of the 7 variables identified to their best-case values, worst-case values, and base-case values.  Probabilities for each of these situations is identified:  There is a 25% probability of best-case values, a 50% probability of base-case values, and a 25% probability of the worst case occurring.</t>
  </si>
  <si>
    <t>The scenario analysis suggests that the project would be profitable ($706,400), but it is quite risky. There is a 25% probability that the project would result in a loss of $4,782,400.  There is also a 25% probability that it could produce an NPV of $7,450,380.  The standard deviation is high, at $4,370,240, and the coefficient of variation is aso high, 6.19.</t>
  </si>
  <si>
    <t>Note that the expected NPV in the scenario analysis is much higher than the expected NPV in the sensitivity analysis.  This occurs because under good conditions we have high numbers multiplied by other high numbers, giving a very high result.</t>
  </si>
  <si>
    <t>NPV @ 12.5%</t>
  </si>
  <si>
    <t>Finally, recall that we stated at the start that if the firm undertakes the project, it will be committed to operate it for the full 4-year life. That is important, because if it were not so committed, then if the bad conditions occurred during the first year of operations, the firm could simply close down operations.  This would cut its losses, and the worse case scenario would not be nearly as bad as we indicated. Then, the expected NPV would be higher, and the standard deviation and coefficient of variation would be lower.  We extend the model to deal with the abandonment option in the next tab, "Abandonment".</t>
  </si>
  <si>
    <t>NPV @ 12.5% =</t>
  </si>
  <si>
    <t>=NPV(D43,F35:I35)+E35</t>
  </si>
  <si>
    <t>=IRR(E35:I35)</t>
  </si>
  <si>
    <t>=MIRR(E35:I35,D43,D43)</t>
  </si>
  <si>
    <t>=G12+(-E35-F35-G35)/H35</t>
  </si>
  <si>
    <t>This analysis suggests that the project is relatively risky, thus the base-case NPV should be recalculated using a higher WACC. At a WACC of 12.5%, the base-case NPV declines from $78.82 to $33.62; so the project still had a positive NPV when its expected cash flows were discounted at the risk-adjusted WACC.</t>
  </si>
  <si>
    <t>SECTION 12-7</t>
  </si>
  <si>
    <t>SOLUTIONS TO SELF-TEST QUESTIONS</t>
  </si>
  <si>
    <t xml:space="preserve">3.  Your company must choose one of two mutually exclusive projects.  Project A costs $2,000
     today and has after-tax cash flows of $1,500 per year for 4 years.  Project B costs $1,500
     today and has after-tax cash flows of $1,750 per year for 2 years.  The firm's WACC is 10%.  </t>
  </si>
  <si>
    <t xml:space="preserve">    a.  If the projects cannot be repeated, what is the NPV of the better project?</t>
  </si>
  <si>
    <t xml:space="preserve">WACC = </t>
  </si>
  <si>
    <t>Project A:</t>
  </si>
  <si>
    <r>
      <t>NPV</t>
    </r>
    <r>
      <rPr>
        <b/>
        <vertAlign val="subscript"/>
        <sz val="10"/>
        <rFont val="Arial"/>
        <family val="2"/>
      </rPr>
      <t>A</t>
    </r>
  </si>
  <si>
    <t>Project B:</t>
  </si>
  <si>
    <r>
      <t>NPV</t>
    </r>
    <r>
      <rPr>
        <b/>
        <vertAlign val="subscript"/>
        <sz val="10"/>
        <rFont val="Arial"/>
        <family val="2"/>
      </rPr>
      <t>B</t>
    </r>
  </si>
  <si>
    <t xml:space="preserve">    b.  If the projects can be repeated, what is the extended NPV of the better project?</t>
  </si>
  <si>
    <t>CFs</t>
  </si>
  <si>
    <t xml:space="preserve">    c.  What is the EAA of each project?</t>
  </si>
  <si>
    <t>To solve this problem use the inputs from part a, where the NPVs of the initial projects are calculated.</t>
  </si>
  <si>
    <t>Project A</t>
  </si>
  <si>
    <t>Project B</t>
  </si>
  <si>
    <t>N</t>
  </si>
  <si>
    <t>I/YR</t>
  </si>
  <si>
    <t>PV</t>
  </si>
  <si>
    <t>FV</t>
  </si>
  <si>
    <t>PMT = EAA</t>
  </si>
  <si>
    <t>Project C:</t>
  </si>
  <si>
    <t>Project F:</t>
  </si>
  <si>
    <t>Project C: (Identical to the analysis in Part I. Just repeated here.)</t>
  </si>
  <si>
    <t>2.  Find the annual annuity payment that is equivalent to each project's NPV (i.e., has the same present value).   
     We know the projects' NPVs and lives, and we know the WACC, so we can find the resulting payment, which
     is the EAA.</t>
  </si>
  <si>
    <t>I/YR:</t>
  </si>
  <si>
    <t>FV:</t>
  </si>
  <si>
    <t>Inputs</t>
  </si>
  <si>
    <t>Figure 12.3  Mutually Exclusive and Repeatable Projects with Unequal Lives</t>
  </si>
  <si>
    <t xml:space="preserve">If we are choosing between two mutually exclusive projects that have different lives and can be repeated, a problem may arise.  Here we need to undertake an "unequal life analysis" as described in this section. </t>
  </si>
  <si>
    <t>Part III. Incremental Cash Flows and Evaluation:</t>
  </si>
  <si>
    <t>Part IV.  Alternative (Streamlined) Calculation for Incremental CFs:</t>
  </si>
  <si>
    <r>
      <rPr>
        <b/>
        <i/>
        <sz val="10"/>
        <rFont val="Arial"/>
        <family val="2"/>
      </rPr>
      <t>Notes:</t>
    </r>
    <r>
      <rPr>
        <b/>
        <sz val="10"/>
        <rFont val="Arial"/>
        <family val="2"/>
      </rPr>
      <t xml:space="preserve">
1.  Accelerated depreciation rates are set by Congress. We show the </t>
    </r>
    <r>
      <rPr>
        <b/>
        <u/>
        <sz val="10"/>
        <rFont val="Arial"/>
        <family val="2"/>
      </rPr>
      <t>approximate</t>
    </r>
    <r>
      <rPr>
        <b/>
        <sz val="10"/>
        <rFont val="Arial"/>
        <family val="2"/>
      </rPr>
      <t xml:space="preserve"> rates for a 
     4-year asset in 2017. Companies also have the option of using straight-line depreciation. 
     Under IRS rules, salvage value is not deducted when establishing the depreciable basis. 
     However, if a salvage payment is received, it is called a recapture of depreciation and is 
     taxed at the 40%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</si>
</sst>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8" formatCode="&quot;$&quot;#,##0.00_);[Red]\(&quot;$&quot;#,##0.00\)"/>
    <numFmt numFmtId="164" formatCode="0.0%"/>
    <numFmt numFmtId="165" formatCode="&quot;$&quot;#,##0"/>
    <numFmt numFmtId="166" formatCode="&quot;$&quot;#,##0.00"/>
    <numFmt numFmtId="167" formatCode="0_);\(0\)"/>
    <numFmt numFmtId="168" formatCode="&quot;$&quot;#,##0.000"/>
    <numFmt numFmtId="169" formatCode="0.000%"/>
  </numFmts>
  <fonts count="67" x14ac:knownFonts="1">
    <font>
      <sz val="10"/>
      <name val="Arial"/>
    </font>
    <font>
      <sz val="10"/>
      <name val="Arial"/>
    </font>
    <font>
      <b/>
      <sz val="10"/>
      <name val="Arial"/>
      <family val="2"/>
    </font>
    <font>
      <b/>
      <sz val="8"/>
      <name val="Arial"/>
      <family val="2"/>
    </font>
    <font>
      <sz val="10"/>
      <name val="Arial"/>
      <family val="2"/>
    </font>
    <font>
      <b/>
      <sz val="12"/>
      <color indexed="18"/>
      <name val="Arial"/>
      <family val="2"/>
    </font>
    <font>
      <b/>
      <sz val="10"/>
      <color indexed="18"/>
      <name val="Arial"/>
      <family val="2"/>
    </font>
    <font>
      <b/>
      <sz val="10"/>
      <color indexed="16"/>
      <name val="Arial"/>
      <family val="2"/>
    </font>
    <font>
      <b/>
      <sz val="10"/>
      <color indexed="10"/>
      <name val="Arial"/>
      <family val="2"/>
    </font>
    <font>
      <b/>
      <sz val="12"/>
      <color indexed="12"/>
      <name val="Arial"/>
      <family val="2"/>
    </font>
    <font>
      <b/>
      <sz val="10"/>
      <color indexed="12"/>
      <name val="Arial"/>
      <family val="2"/>
    </font>
    <font>
      <b/>
      <sz val="9"/>
      <color indexed="18"/>
      <name val="Arial"/>
      <family val="2"/>
    </font>
    <font>
      <b/>
      <i/>
      <sz val="10"/>
      <color indexed="16"/>
      <name val="Arial"/>
      <family val="2"/>
    </font>
    <font>
      <b/>
      <u/>
      <sz val="10"/>
      <color indexed="18"/>
      <name val="Arial"/>
      <family val="2"/>
    </font>
    <font>
      <b/>
      <sz val="9"/>
      <name val="Arial"/>
      <family val="2"/>
    </font>
    <font>
      <b/>
      <i/>
      <sz val="10"/>
      <name val="Arial"/>
      <family val="2"/>
    </font>
    <font>
      <b/>
      <sz val="10"/>
      <color indexed="20"/>
      <name val="Arial"/>
      <family val="2"/>
    </font>
    <font>
      <b/>
      <u/>
      <sz val="10"/>
      <name val="Arial"/>
      <family val="2"/>
    </font>
    <font>
      <b/>
      <sz val="11"/>
      <color indexed="58"/>
      <name val="Arial"/>
      <family val="2"/>
    </font>
    <font>
      <b/>
      <sz val="14"/>
      <color indexed="16"/>
      <name val="Arial"/>
      <family val="2"/>
    </font>
    <font>
      <b/>
      <sz val="8"/>
      <color indexed="18"/>
      <name val="Arial"/>
      <family val="2"/>
    </font>
    <font>
      <b/>
      <sz val="12"/>
      <color indexed="16"/>
      <name val="Arial"/>
      <family val="2"/>
    </font>
    <font>
      <b/>
      <i/>
      <sz val="9"/>
      <color indexed="16"/>
      <name val="Arial"/>
      <family val="2"/>
    </font>
    <font>
      <b/>
      <sz val="12"/>
      <name val="Arial"/>
      <family val="2"/>
    </font>
    <font>
      <b/>
      <i/>
      <sz val="10"/>
      <color indexed="12"/>
      <name val="Arial"/>
      <family val="2"/>
    </font>
    <font>
      <b/>
      <sz val="10"/>
      <name val="Calibri"/>
      <family val="2"/>
    </font>
    <font>
      <b/>
      <sz val="10"/>
      <color indexed="58"/>
      <name val="Arial"/>
      <family val="2"/>
    </font>
    <font>
      <b/>
      <sz val="10"/>
      <name val="Times New Roman"/>
      <family val="1"/>
    </font>
    <font>
      <sz val="6"/>
      <name val="Times New Roman"/>
      <family val="1"/>
    </font>
    <font>
      <i/>
      <sz val="10"/>
      <name val="Arial"/>
      <family val="2"/>
    </font>
    <font>
      <b/>
      <u/>
      <sz val="9"/>
      <color indexed="18"/>
      <name val="Arial"/>
      <family val="2"/>
    </font>
    <font>
      <b/>
      <sz val="11"/>
      <color indexed="18"/>
      <name val="Arial"/>
      <family val="2"/>
    </font>
    <font>
      <sz val="11"/>
      <name val="Arial"/>
      <family val="2"/>
    </font>
    <font>
      <sz val="10"/>
      <color indexed="58"/>
      <name val="Arial"/>
      <family val="2"/>
    </font>
    <font>
      <b/>
      <vertAlign val="subscript"/>
      <sz val="10"/>
      <color indexed="16"/>
      <name val="Arial"/>
      <family val="2"/>
    </font>
    <font>
      <b/>
      <i/>
      <sz val="10"/>
      <color indexed="58"/>
      <name val="Arial"/>
      <family val="2"/>
    </font>
    <font>
      <b/>
      <sz val="10"/>
      <color indexed="17"/>
      <name val="Arial"/>
      <family val="2"/>
    </font>
    <font>
      <sz val="10"/>
      <color indexed="12"/>
      <name val="Arial"/>
      <family val="2"/>
    </font>
    <font>
      <b/>
      <sz val="10"/>
      <color indexed="14"/>
      <name val="Arial"/>
      <family val="2"/>
    </font>
    <font>
      <b/>
      <u/>
      <sz val="11"/>
      <color indexed="62"/>
      <name val="Arial"/>
      <family val="2"/>
    </font>
    <font>
      <b/>
      <sz val="11"/>
      <name val="Arial"/>
      <family val="2"/>
    </font>
    <font>
      <sz val="10"/>
      <name val="Calibri"/>
      <family val="2"/>
    </font>
    <font>
      <sz val="15"/>
      <name val="Arial"/>
      <family val="2"/>
    </font>
    <font>
      <u/>
      <sz val="10"/>
      <name val="Arial"/>
      <family val="2"/>
    </font>
    <font>
      <b/>
      <sz val="10"/>
      <color indexed="18"/>
      <name val="Calibri"/>
      <family val="2"/>
    </font>
    <font>
      <b/>
      <i/>
      <sz val="10"/>
      <color indexed="18"/>
      <name val="Arial"/>
      <family val="2"/>
    </font>
    <font>
      <b/>
      <sz val="10"/>
      <color indexed="16"/>
      <name val="Calibri"/>
      <family val="2"/>
    </font>
    <font>
      <b/>
      <sz val="10"/>
      <color indexed="16"/>
      <name val="Symbol"/>
      <family val="1"/>
      <charset val="2"/>
    </font>
    <font>
      <b/>
      <sz val="10"/>
      <color rgb="FF800000"/>
      <name val="Arial"/>
      <family val="2"/>
    </font>
    <font>
      <b/>
      <sz val="10"/>
      <color rgb="FF0000FF"/>
      <name val="Arial"/>
      <family val="2"/>
    </font>
    <font>
      <b/>
      <sz val="10"/>
      <color rgb="FF08027E"/>
      <name val="Arial"/>
      <family val="2"/>
    </font>
    <font>
      <b/>
      <sz val="10"/>
      <color rgb="FF003300"/>
      <name val="Arial"/>
      <family val="2"/>
    </font>
    <font>
      <b/>
      <sz val="10"/>
      <color rgb="FF0B027E"/>
      <name val="Arial"/>
      <family val="2"/>
    </font>
    <font>
      <b/>
      <u/>
      <sz val="10"/>
      <color rgb="FF0B027E"/>
      <name val="Arial"/>
      <family val="2"/>
    </font>
    <font>
      <sz val="10"/>
      <color rgb="FF0B027E"/>
      <name val="Arial"/>
      <family val="2"/>
    </font>
    <font>
      <b/>
      <i/>
      <sz val="10"/>
      <color rgb="FF003300"/>
      <name val="Arial"/>
      <family val="2"/>
    </font>
    <font>
      <b/>
      <u/>
      <sz val="10"/>
      <color rgb="FF003300"/>
      <name val="Arial"/>
      <family val="2"/>
    </font>
    <font>
      <b/>
      <sz val="10"/>
      <color rgb="FF3366FF"/>
      <name val="Arial"/>
      <family val="2"/>
    </font>
    <font>
      <b/>
      <sz val="10"/>
      <color rgb="FF1103CD"/>
      <name val="Arial"/>
      <family val="2"/>
    </font>
    <font>
      <b/>
      <sz val="10"/>
      <color rgb="FF000080"/>
      <name val="Arial"/>
      <family val="2"/>
    </font>
    <font>
      <sz val="10"/>
      <color rgb="FF000080"/>
      <name val="Arial"/>
      <family val="2"/>
    </font>
    <font>
      <b/>
      <sz val="12"/>
      <color rgb="FF0000FF"/>
      <name val="Arial"/>
      <family val="2"/>
    </font>
    <font>
      <b/>
      <sz val="10"/>
      <color rgb="FF0033CC"/>
      <name val="Arial"/>
      <family val="2"/>
    </font>
    <font>
      <b/>
      <sz val="13"/>
      <color indexed="16"/>
      <name val="Arial"/>
      <family val="2"/>
    </font>
    <font>
      <b/>
      <sz val="10"/>
      <color indexed="12"/>
      <name val="Times New Roman"/>
      <family val="1"/>
    </font>
    <font>
      <b/>
      <vertAlign val="subscript"/>
      <sz val="10"/>
      <name val="Arial"/>
      <family val="2"/>
    </font>
    <font>
      <b/>
      <sz val="10"/>
      <color rgb="FF800080"/>
      <name val="Arial"/>
      <family val="2"/>
    </font>
  </fonts>
  <fills count="1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45"/>
        <bgColor indexed="64"/>
      </patternFill>
    </fill>
    <fill>
      <patternFill patternType="solid">
        <fgColor indexed="13"/>
        <bgColor indexed="64"/>
      </patternFill>
    </fill>
    <fill>
      <patternFill patternType="solid">
        <fgColor rgb="FFCCFFCC"/>
        <bgColor indexed="64"/>
      </patternFill>
    </fill>
    <fill>
      <patternFill patternType="solid">
        <fgColor rgb="FFCCECFF"/>
        <bgColor indexed="64"/>
      </patternFill>
    </fill>
    <fill>
      <patternFill patternType="solid">
        <fgColor rgb="FFE1FFFF"/>
        <bgColor indexed="64"/>
      </patternFill>
    </fill>
    <fill>
      <patternFill patternType="solid">
        <fgColor rgb="FFE1FFE1"/>
        <bgColor indexed="64"/>
      </patternFill>
    </fill>
    <fill>
      <patternFill patternType="solid">
        <fgColor rgb="FFFFFFCC"/>
        <bgColor indexed="64"/>
      </patternFill>
    </fill>
    <fill>
      <patternFill patternType="solid">
        <fgColor rgb="FFE6FECE"/>
        <bgColor indexed="64"/>
      </patternFill>
    </fill>
    <fill>
      <patternFill patternType="solid">
        <fgColor rgb="FFFFFF99"/>
        <bgColor indexed="64"/>
      </patternFill>
    </fill>
    <fill>
      <patternFill patternType="solid">
        <fgColor rgb="FFCCFFFF"/>
        <bgColor indexed="64"/>
      </patternFill>
    </fill>
  </fills>
  <borders count="45">
    <border>
      <left/>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736">
    <xf numFmtId="0" fontId="0" fillId="0" borderId="0" xfId="0"/>
    <xf numFmtId="37" fontId="4" fillId="0" borderId="0" xfId="0" applyNumberFormat="1" applyFont="1" applyFill="1"/>
    <xf numFmtId="37" fontId="4" fillId="0" borderId="0" xfId="0" applyNumberFormat="1" applyFont="1"/>
    <xf numFmtId="37" fontId="5" fillId="0" borderId="0" xfId="0" quotePrefix="1" applyNumberFormat="1" applyFont="1" applyFill="1" applyAlignment="1">
      <alignment horizontal="center"/>
    </xf>
    <xf numFmtId="37" fontId="5" fillId="0" borderId="0" xfId="0" applyNumberFormat="1" applyFont="1"/>
    <xf numFmtId="37" fontId="2" fillId="0" borderId="0" xfId="0" applyNumberFormat="1" applyFont="1" applyFill="1"/>
    <xf numFmtId="37" fontId="2" fillId="0" borderId="0" xfId="0" applyNumberFormat="1" applyFont="1"/>
    <xf numFmtId="165" fontId="2" fillId="0" borderId="0" xfId="0" applyNumberFormat="1" applyFont="1"/>
    <xf numFmtId="37" fontId="4" fillId="0" borderId="0" xfId="0" applyNumberFormat="1" applyFont="1" applyFill="1" applyBorder="1"/>
    <xf numFmtId="37" fontId="6" fillId="0" borderId="0" xfId="0" applyNumberFormat="1" applyFont="1" applyFill="1" applyAlignment="1">
      <alignment horizontal="left" vertical="center" wrapText="1"/>
    </xf>
    <xf numFmtId="0" fontId="0" fillId="0" borderId="0" xfId="0" applyFill="1" applyAlignment="1">
      <alignment horizontal="left" vertical="center" wrapText="1"/>
    </xf>
    <xf numFmtId="37" fontId="6" fillId="0" borderId="0" xfId="0" applyNumberFormat="1" applyFont="1" applyFill="1" applyAlignment="1">
      <alignment horizontal="center" vertical="center" wrapText="1"/>
    </xf>
    <xf numFmtId="5" fontId="2" fillId="0" borderId="0" xfId="0" applyNumberFormat="1" applyFont="1" applyFill="1"/>
    <xf numFmtId="37" fontId="6" fillId="0" borderId="0" xfId="0" applyNumberFormat="1" applyFont="1" applyFill="1"/>
    <xf numFmtId="165" fontId="2" fillId="0" borderId="0" xfId="0" applyNumberFormat="1" applyFont="1" applyFill="1"/>
    <xf numFmtId="165" fontId="2" fillId="0" borderId="0" xfId="0" applyNumberFormat="1" applyFont="1" applyFill="1" applyBorder="1"/>
    <xf numFmtId="165" fontId="2" fillId="0" borderId="2" xfId="0" applyNumberFormat="1" applyFont="1" applyFill="1" applyBorder="1"/>
    <xf numFmtId="9" fontId="7" fillId="0" borderId="0" xfId="1" applyFont="1" applyFill="1" applyBorder="1" applyAlignment="1">
      <alignment horizontal="center"/>
    </xf>
    <xf numFmtId="9" fontId="7" fillId="0" borderId="3" xfId="1" applyFont="1" applyFill="1" applyBorder="1" applyAlignment="1">
      <alignment horizontal="center"/>
    </xf>
    <xf numFmtId="9" fontId="7" fillId="0" borderId="2" xfId="1" applyFont="1" applyFill="1" applyBorder="1" applyAlignment="1">
      <alignment horizontal="center"/>
    </xf>
    <xf numFmtId="37" fontId="11" fillId="0" borderId="0" xfId="0" applyNumberFormat="1" applyFont="1" applyFill="1" applyBorder="1"/>
    <xf numFmtId="9" fontId="4" fillId="0" borderId="0" xfId="1" applyFont="1"/>
    <xf numFmtId="0" fontId="2" fillId="0" borderId="0" xfId="0" applyFont="1"/>
    <xf numFmtId="3" fontId="2" fillId="0" borderId="0" xfId="0" applyNumberFormat="1" applyFont="1"/>
    <xf numFmtId="0" fontId="4" fillId="0" borderId="0" xfId="0" applyFont="1"/>
    <xf numFmtId="165" fontId="4" fillId="0" borderId="0" xfId="0" applyNumberFormat="1" applyFont="1"/>
    <xf numFmtId="167" fontId="11" fillId="0" borderId="0" xfId="0" applyNumberFormat="1" applyFont="1" applyFill="1" applyBorder="1"/>
    <xf numFmtId="37" fontId="6" fillId="0" borderId="0" xfId="0" applyNumberFormat="1" applyFont="1"/>
    <xf numFmtId="37" fontId="9" fillId="0" borderId="0" xfId="0" applyNumberFormat="1" applyFont="1"/>
    <xf numFmtId="37" fontId="10" fillId="0" borderId="0" xfId="0" applyNumberFormat="1" applyFont="1"/>
    <xf numFmtId="5" fontId="10" fillId="0" borderId="0" xfId="0" applyNumberFormat="1" applyFont="1"/>
    <xf numFmtId="9" fontId="10" fillId="0" borderId="0" xfId="1" applyFont="1"/>
    <xf numFmtId="164" fontId="10" fillId="0" borderId="0" xfId="1" applyNumberFormat="1" applyFont="1"/>
    <xf numFmtId="5" fontId="2" fillId="0" borderId="0" xfId="0" applyNumberFormat="1" applyFont="1"/>
    <xf numFmtId="37" fontId="15" fillId="0" borderId="0" xfId="0" applyNumberFormat="1" applyFont="1"/>
    <xf numFmtId="37" fontId="2" fillId="0" borderId="0" xfId="0" quotePrefix="1" applyNumberFormat="1" applyFont="1" applyAlignment="1">
      <alignment horizontal="left"/>
    </xf>
    <xf numFmtId="37" fontId="14" fillId="0" borderId="0" xfId="0" quotePrefix="1" applyNumberFormat="1" applyFont="1" applyAlignment="1">
      <alignment horizontal="left"/>
    </xf>
    <xf numFmtId="37" fontId="2" fillId="0" borderId="0" xfId="0" applyNumberFormat="1" applyFont="1" applyAlignment="1">
      <alignment horizontal="left"/>
    </xf>
    <xf numFmtId="37" fontId="2" fillId="0" borderId="4" xfId="0" applyNumberFormat="1" applyFont="1" applyBorder="1" applyAlignment="1">
      <alignment horizontal="center"/>
    </xf>
    <xf numFmtId="37" fontId="15" fillId="0" borderId="0" xfId="0" quotePrefix="1" applyNumberFormat="1" applyFont="1" applyAlignment="1">
      <alignment horizontal="left"/>
    </xf>
    <xf numFmtId="37" fontId="17" fillId="0" borderId="0" xfId="0" applyNumberFormat="1" applyFont="1"/>
    <xf numFmtId="5" fontId="16" fillId="2" borderId="0" xfId="0" applyNumberFormat="1" applyFont="1" applyFill="1"/>
    <xf numFmtId="5" fontId="2" fillId="0" borderId="0" xfId="0" applyNumberFormat="1" applyFont="1" applyAlignment="1">
      <alignment horizontal="center"/>
    </xf>
    <xf numFmtId="5" fontId="2" fillId="0" borderId="0" xfId="0" quotePrefix="1" applyNumberFormat="1" applyFont="1" applyAlignment="1">
      <alignment horizontal="center"/>
    </xf>
    <xf numFmtId="5" fontId="2" fillId="0" borderId="0" xfId="0" applyNumberFormat="1" applyFont="1" applyFill="1" applyAlignment="1">
      <alignment horizontal="center"/>
    </xf>
    <xf numFmtId="5" fontId="2" fillId="0" borderId="0" xfId="0" quotePrefix="1" applyNumberFormat="1" applyFont="1" applyFill="1" applyAlignment="1">
      <alignment horizontal="center"/>
    </xf>
    <xf numFmtId="22" fontId="18" fillId="0" borderId="0" xfId="0" applyNumberFormat="1" applyFont="1" applyFill="1"/>
    <xf numFmtId="3" fontId="2" fillId="0" borderId="0" xfId="0" applyNumberFormat="1" applyFont="1" applyFill="1"/>
    <xf numFmtId="165" fontId="2" fillId="0" borderId="5" xfId="0" applyNumberFormat="1" applyFont="1" applyFill="1" applyBorder="1"/>
    <xf numFmtId="37" fontId="6" fillId="0" borderId="6" xfId="0" applyNumberFormat="1" applyFont="1" applyFill="1" applyBorder="1" applyAlignment="1">
      <alignment horizontal="center"/>
    </xf>
    <xf numFmtId="37" fontId="2" fillId="0" borderId="0" xfId="0" applyNumberFormat="1" applyFont="1" applyFill="1" applyAlignment="1">
      <alignment horizontal="right"/>
    </xf>
    <xf numFmtId="37" fontId="3" fillId="0" borderId="7" xfId="0" applyNumberFormat="1" applyFont="1" applyFill="1" applyBorder="1"/>
    <xf numFmtId="37" fontId="3" fillId="0" borderId="8" xfId="0" applyNumberFormat="1" applyFont="1" applyFill="1" applyBorder="1"/>
    <xf numFmtId="37" fontId="3" fillId="0" borderId="9" xfId="0" applyNumberFormat="1" applyFont="1" applyBorder="1"/>
    <xf numFmtId="37" fontId="6" fillId="0" borderId="0" xfId="0" applyNumberFormat="1" applyFont="1" applyFill="1" applyAlignment="1">
      <alignment horizontal="right"/>
    </xf>
    <xf numFmtId="37" fontId="4" fillId="3" borderId="0" xfId="0" applyNumberFormat="1" applyFont="1" applyFill="1"/>
    <xf numFmtId="37" fontId="6" fillId="0" borderId="0" xfId="0" quotePrefix="1" applyNumberFormat="1" applyFont="1" applyAlignment="1">
      <alignment horizontal="left"/>
    </xf>
    <xf numFmtId="3" fontId="2" fillId="0" borderId="2" xfId="0" applyNumberFormat="1" applyFont="1" applyFill="1" applyBorder="1"/>
    <xf numFmtId="3" fontId="10" fillId="0" borderId="0" xfId="0" applyNumberFormat="1" applyFont="1" applyFill="1"/>
    <xf numFmtId="3" fontId="2" fillId="0" borderId="0" xfId="0" applyNumberFormat="1" applyFont="1" applyFill="1" applyBorder="1"/>
    <xf numFmtId="37" fontId="9" fillId="0" borderId="0" xfId="0" quotePrefix="1" applyNumberFormat="1" applyFont="1" applyAlignment="1">
      <alignment horizontal="left"/>
    </xf>
    <xf numFmtId="37" fontId="14" fillId="0" borderId="0" xfId="0" applyNumberFormat="1" applyFont="1"/>
    <xf numFmtId="22" fontId="2" fillId="0" borderId="0" xfId="0" applyNumberFormat="1" applyFont="1" applyFill="1" applyBorder="1"/>
    <xf numFmtId="22" fontId="2" fillId="0" borderId="0" xfId="0" applyNumberFormat="1" applyFont="1" applyFill="1" applyBorder="1" applyAlignment="1">
      <alignment horizontal="center"/>
    </xf>
    <xf numFmtId="14" fontId="2" fillId="0" borderId="0" xfId="0" quotePrefix="1" applyNumberFormat="1" applyFont="1" applyFill="1" applyBorder="1" applyAlignment="1">
      <alignment horizontal="center"/>
    </xf>
    <xf numFmtId="0" fontId="2" fillId="0" borderId="0" xfId="0" applyFont="1" applyAlignment="1">
      <alignment horizontal="center"/>
    </xf>
    <xf numFmtId="37" fontId="21" fillId="0" borderId="0" xfId="0" applyNumberFormat="1" applyFont="1"/>
    <xf numFmtId="37" fontId="2" fillId="0" borderId="0" xfId="0" applyNumberFormat="1" applyFont="1" applyFill="1" applyBorder="1" applyAlignment="1">
      <alignment horizontal="center"/>
    </xf>
    <xf numFmtId="0" fontId="12" fillId="0" borderId="0" xfId="0" applyFont="1"/>
    <xf numFmtId="0" fontId="0" fillId="0" borderId="0" xfId="0" applyAlignment="1">
      <alignment vertical="center" wrapText="1"/>
    </xf>
    <xf numFmtId="37" fontId="6" fillId="0" borderId="0" xfId="0" applyNumberFormat="1" applyFont="1" applyFill="1" applyAlignment="1">
      <alignment vertical="center" wrapText="1"/>
    </xf>
    <xf numFmtId="0" fontId="21" fillId="0" borderId="0" xfId="0" applyFont="1" applyFill="1" applyBorder="1"/>
    <xf numFmtId="14" fontId="10" fillId="0" borderId="0" xfId="0" applyNumberFormat="1" applyFont="1" applyAlignment="1">
      <alignment horizontal="center"/>
    </xf>
    <xf numFmtId="0" fontId="2" fillId="0" borderId="2" xfId="0" applyFont="1" applyBorder="1" applyAlignment="1">
      <alignment horizontal="center"/>
    </xf>
    <xf numFmtId="0" fontId="15" fillId="0" borderId="0" xfId="0" applyFont="1"/>
    <xf numFmtId="0" fontId="2" fillId="0" borderId="0" xfId="0" applyFont="1" applyFill="1" applyBorder="1" applyAlignment="1">
      <alignment horizontal="right"/>
    </xf>
    <xf numFmtId="9" fontId="4" fillId="0" borderId="0" xfId="1" applyFont="1" applyFill="1" applyBorder="1"/>
    <xf numFmtId="0" fontId="4" fillId="0" borderId="0" xfId="0" applyFont="1" applyFill="1" applyBorder="1"/>
    <xf numFmtId="9" fontId="2" fillId="0" borderId="0" xfId="1" applyFont="1" applyFill="1" applyBorder="1"/>
    <xf numFmtId="0" fontId="2" fillId="0" borderId="0" xfId="0" applyFont="1" applyBorder="1" applyAlignment="1">
      <alignment horizontal="left" wrapText="1"/>
    </xf>
    <xf numFmtId="165" fontId="7" fillId="0" borderId="0" xfId="0" applyNumberFormat="1" applyFont="1" applyBorder="1"/>
    <xf numFmtId="165" fontId="6" fillId="0" borderId="0" xfId="0" applyNumberFormat="1" applyFont="1" applyBorder="1"/>
    <xf numFmtId="0" fontId="7" fillId="0" borderId="0" xfId="0" applyFont="1"/>
    <xf numFmtId="10" fontId="24" fillId="0" borderId="12" xfId="1" applyNumberFormat="1" applyFont="1" applyBorder="1" applyAlignment="1">
      <alignment horizontal="center"/>
    </xf>
    <xf numFmtId="0" fontId="26" fillId="0" borderId="0" xfId="0" applyFont="1"/>
    <xf numFmtId="165" fontId="26" fillId="0" borderId="0" xfId="0" applyNumberFormat="1" applyFont="1" applyBorder="1" applyAlignment="1">
      <alignment horizontal="center"/>
    </xf>
    <xf numFmtId="0" fontId="6" fillId="0" borderId="0" xfId="0" applyFont="1" applyFill="1" applyBorder="1" applyAlignment="1">
      <alignment horizontal="center"/>
    </xf>
    <xf numFmtId="0" fontId="26" fillId="0" borderId="0" xfId="0" applyFont="1" applyFill="1" applyBorder="1" applyAlignment="1">
      <alignment horizontal="center"/>
    </xf>
    <xf numFmtId="0" fontId="4" fillId="0" borderId="0" xfId="0" applyFont="1" applyBorder="1"/>
    <xf numFmtId="8" fontId="6" fillId="0" borderId="0" xfId="0" quotePrefix="1" applyNumberFormat="1" applyFont="1" applyFill="1" applyBorder="1" applyAlignment="1">
      <alignment horizontal="center"/>
    </xf>
    <xf numFmtId="8" fontId="2" fillId="0" borderId="0" xfId="0" applyNumberFormat="1" applyFont="1" applyFill="1" applyBorder="1" applyAlignment="1">
      <alignment horizontal="center"/>
    </xf>
    <xf numFmtId="169" fontId="6" fillId="0" borderId="0" xfId="0" quotePrefix="1" applyNumberFormat="1" applyFont="1" applyFill="1" applyBorder="1" applyAlignment="1">
      <alignment horizontal="center"/>
    </xf>
    <xf numFmtId="0" fontId="6" fillId="0" borderId="0" xfId="0" applyFont="1" applyFill="1" applyBorder="1"/>
    <xf numFmtId="169" fontId="2" fillId="0" borderId="0" xfId="0" applyNumberFormat="1" applyFont="1" applyFill="1" applyBorder="1" applyAlignment="1">
      <alignment horizontal="center"/>
    </xf>
    <xf numFmtId="2" fontId="6" fillId="0" borderId="0" xfId="0" quotePrefix="1" applyNumberFormat="1" applyFont="1" applyFill="1" applyBorder="1" applyAlignment="1">
      <alignment horizontal="center"/>
    </xf>
    <xf numFmtId="2" fontId="2" fillId="0" borderId="0" xfId="0" applyNumberFormat="1" applyFont="1" applyFill="1" applyBorder="1" applyAlignment="1">
      <alignment horizontal="center"/>
    </xf>
    <xf numFmtId="8" fontId="2" fillId="0" borderId="0" xfId="0" applyNumberFormat="1" applyFont="1"/>
    <xf numFmtId="0" fontId="27" fillId="0" borderId="13" xfId="0" applyFont="1" applyBorder="1"/>
    <xf numFmtId="8" fontId="2" fillId="0" borderId="12" xfId="0" applyNumberFormat="1" applyFont="1" applyBorder="1" applyAlignment="1">
      <alignment horizontal="center"/>
    </xf>
    <xf numFmtId="0" fontId="27" fillId="0" borderId="14" xfId="0" applyFont="1" applyBorder="1"/>
    <xf numFmtId="166" fontId="2" fillId="0" borderId="12" xfId="0" applyNumberFormat="1" applyFont="1" applyBorder="1"/>
    <xf numFmtId="9" fontId="2" fillId="0" borderId="0" xfId="1" applyFont="1"/>
    <xf numFmtId="166" fontId="2" fillId="0" borderId="0" xfId="0" applyNumberFormat="1" applyFont="1"/>
    <xf numFmtId="166" fontId="14" fillId="0" borderId="0" xfId="0" applyNumberFormat="1" applyFont="1"/>
    <xf numFmtId="166" fontId="2" fillId="0" borderId="12" xfId="0" applyNumberFormat="1" applyFont="1" applyBorder="1" applyAlignment="1">
      <alignment horizontal="center"/>
    </xf>
    <xf numFmtId="166" fontId="14" fillId="0" borderId="12" xfId="0" applyNumberFormat="1" applyFont="1" applyBorder="1" applyAlignment="1">
      <alignment horizontal="center"/>
    </xf>
    <xf numFmtId="0" fontId="4" fillId="3" borderId="3" xfId="0" applyFont="1" applyFill="1" applyBorder="1"/>
    <xf numFmtId="0" fontId="4" fillId="3" borderId="15" xfId="0" applyFont="1" applyFill="1" applyBorder="1"/>
    <xf numFmtId="0" fontId="2" fillId="0" borderId="0" xfId="0" applyFont="1" applyFill="1"/>
    <xf numFmtId="0" fontId="4" fillId="3" borderId="0" xfId="0" applyFont="1" applyFill="1"/>
    <xf numFmtId="0" fontId="28" fillId="3" borderId="16" xfId="0" applyFont="1" applyFill="1" applyBorder="1"/>
    <xf numFmtId="0" fontId="4" fillId="3" borderId="0" xfId="0" applyFont="1" applyFill="1" applyBorder="1"/>
    <xf numFmtId="0" fontId="4" fillId="3" borderId="5" xfId="0" applyFont="1" applyFill="1" applyBorder="1"/>
    <xf numFmtId="0" fontId="4" fillId="3" borderId="16" xfId="0" applyFont="1" applyFill="1" applyBorder="1"/>
    <xf numFmtId="0" fontId="2" fillId="3" borderId="16" xfId="0" applyFont="1" applyFill="1" applyBorder="1"/>
    <xf numFmtId="0" fontId="2" fillId="3" borderId="16" xfId="0" applyFont="1" applyFill="1" applyBorder="1" applyAlignment="1">
      <alignment horizontal="right"/>
    </xf>
    <xf numFmtId="9" fontId="2" fillId="4" borderId="7" xfId="1" applyFont="1" applyFill="1" applyBorder="1" applyAlignment="1">
      <alignment horizontal="center"/>
    </xf>
    <xf numFmtId="166" fontId="27" fillId="4" borderId="0" xfId="0" applyNumberFormat="1" applyFont="1" applyFill="1" applyBorder="1"/>
    <xf numFmtId="166" fontId="27" fillId="4" borderId="5" xfId="0" applyNumberFormat="1" applyFont="1" applyFill="1" applyBorder="1"/>
    <xf numFmtId="9" fontId="2" fillId="5" borderId="8" xfId="1" applyFont="1" applyFill="1" applyBorder="1" applyAlignment="1">
      <alignment horizontal="center"/>
    </xf>
    <xf numFmtId="166" fontId="27" fillId="5" borderId="0" xfId="0" applyNumberFormat="1" applyFont="1" applyFill="1" applyBorder="1"/>
    <xf numFmtId="166" fontId="27" fillId="5" borderId="5" xfId="0" applyNumberFormat="1" applyFont="1" applyFill="1" applyBorder="1"/>
    <xf numFmtId="0" fontId="14" fillId="3" borderId="16" xfId="0" applyFont="1" applyFill="1" applyBorder="1" applyAlignment="1">
      <alignment horizontal="right"/>
    </xf>
    <xf numFmtId="9" fontId="2" fillId="6" borderId="8" xfId="1" applyFont="1" applyFill="1" applyBorder="1" applyAlignment="1">
      <alignment horizontal="center"/>
    </xf>
    <xf numFmtId="166" fontId="27" fillId="6" borderId="0" xfId="0" applyNumberFormat="1" applyFont="1" applyFill="1" applyBorder="1"/>
    <xf numFmtId="166" fontId="27" fillId="6" borderId="5" xfId="0" applyNumberFormat="1" applyFont="1" applyFill="1" applyBorder="1"/>
    <xf numFmtId="0" fontId="27" fillId="2" borderId="9" xfId="0" applyFont="1" applyFill="1" applyBorder="1" applyAlignment="1">
      <alignment horizontal="center"/>
    </xf>
    <xf numFmtId="166" fontId="27" fillId="2" borderId="2" xfId="0" applyNumberFormat="1" applyFont="1" applyFill="1" applyBorder="1"/>
    <xf numFmtId="166" fontId="27" fillId="2" borderId="17" xfId="0" applyNumberFormat="1" applyFont="1" applyFill="1" applyBorder="1"/>
    <xf numFmtId="0" fontId="4" fillId="0" borderId="5" xfId="0" applyFont="1" applyBorder="1"/>
    <xf numFmtId="0" fontId="29" fillId="3" borderId="16" xfId="0" applyFont="1" applyFill="1" applyBorder="1"/>
    <xf numFmtId="0" fontId="4" fillId="0" borderId="5" xfId="0" applyFont="1" applyBorder="1" applyAlignment="1"/>
    <xf numFmtId="0" fontId="4" fillId="3" borderId="0" xfId="0" applyFont="1" applyFill="1" applyAlignment="1"/>
    <xf numFmtId="0" fontId="4" fillId="0" borderId="0" xfId="0" applyFont="1" applyAlignment="1"/>
    <xf numFmtId="0" fontId="4" fillId="3" borderId="5" xfId="0" applyFont="1" applyFill="1" applyBorder="1" applyAlignment="1">
      <alignment vertical="top" wrapText="1"/>
    </xf>
    <xf numFmtId="0" fontId="4" fillId="3" borderId="17" xfId="0" applyFont="1" applyFill="1" applyBorder="1" applyAlignment="1">
      <alignment vertical="top" wrapText="1"/>
    </xf>
    <xf numFmtId="0" fontId="23" fillId="3" borderId="0" xfId="0" applyFont="1" applyFill="1"/>
    <xf numFmtId="0" fontId="0" fillId="3" borderId="0" xfId="0" applyFill="1"/>
    <xf numFmtId="0" fontId="7" fillId="0" borderId="0" xfId="0" applyFont="1" applyFill="1" applyBorder="1"/>
    <xf numFmtId="0" fontId="6" fillId="3" borderId="0" xfId="0" applyFont="1" applyFill="1" applyBorder="1"/>
    <xf numFmtId="2" fontId="6" fillId="3" borderId="0" xfId="0" quotePrefix="1" applyNumberFormat="1" applyFont="1" applyFill="1" applyBorder="1" applyAlignment="1">
      <alignment horizontal="right"/>
    </xf>
    <xf numFmtId="2" fontId="6" fillId="3" borderId="0" xfId="0" quotePrefix="1" applyNumberFormat="1" applyFont="1" applyFill="1" applyBorder="1" applyAlignment="1">
      <alignment horizontal="center"/>
    </xf>
    <xf numFmtId="2" fontId="2" fillId="3" borderId="0" xfId="0" applyNumberFormat="1" applyFont="1" applyFill="1" applyBorder="1" applyAlignment="1">
      <alignment horizontal="center"/>
    </xf>
    <xf numFmtId="0" fontId="30" fillId="3" borderId="0" xfId="0" applyFont="1" applyFill="1"/>
    <xf numFmtId="37" fontId="7" fillId="3" borderId="18" xfId="0" applyNumberFormat="1" applyFont="1" applyFill="1" applyBorder="1" applyAlignment="1">
      <alignment horizontal="center"/>
    </xf>
    <xf numFmtId="37" fontId="7" fillId="3" borderId="19" xfId="0" applyNumberFormat="1" applyFont="1" applyFill="1" applyBorder="1" applyAlignment="1">
      <alignment horizontal="center"/>
    </xf>
    <xf numFmtId="0" fontId="2" fillId="3" borderId="0" xfId="0" applyFont="1" applyFill="1" applyBorder="1" applyAlignment="1">
      <alignment horizontal="center"/>
    </xf>
    <xf numFmtId="1" fontId="7" fillId="3" borderId="18" xfId="0" applyNumberFormat="1" applyFont="1" applyFill="1" applyBorder="1" applyAlignment="1">
      <alignment horizontal="center"/>
    </xf>
    <xf numFmtId="1" fontId="7" fillId="3" borderId="19" xfId="0" applyNumberFormat="1" applyFont="1" applyFill="1" applyBorder="1" applyAlignment="1">
      <alignment horizontal="center"/>
    </xf>
    <xf numFmtId="1" fontId="7" fillId="3" borderId="1" xfId="0" applyNumberFormat="1" applyFont="1" applyFill="1" applyBorder="1" applyAlignment="1">
      <alignment horizontal="center"/>
    </xf>
    <xf numFmtId="0" fontId="7" fillId="3" borderId="6" xfId="0" applyFont="1" applyFill="1" applyBorder="1" applyAlignment="1">
      <alignment horizontal="center"/>
    </xf>
    <xf numFmtId="0" fontId="7" fillId="3" borderId="7" xfId="0" applyFont="1" applyFill="1" applyBorder="1" applyAlignment="1">
      <alignment horizontal="center"/>
    </xf>
    <xf numFmtId="0" fontId="6" fillId="2" borderId="18" xfId="0" applyFont="1" applyFill="1" applyBorder="1" applyAlignment="1">
      <alignment horizontal="right"/>
    </xf>
    <xf numFmtId="9" fontId="2" fillId="2" borderId="19" xfId="1" applyFont="1" applyFill="1" applyBorder="1" applyAlignment="1">
      <alignment horizontal="center"/>
    </xf>
    <xf numFmtId="165" fontId="2" fillId="2" borderId="18" xfId="0" applyNumberFormat="1" applyFont="1" applyFill="1" applyBorder="1"/>
    <xf numFmtId="165" fontId="2" fillId="2" borderId="19" xfId="0" applyNumberFormat="1" applyFont="1" applyFill="1" applyBorder="1"/>
    <xf numFmtId="10" fontId="2" fillId="2" borderId="6" xfId="1" applyNumberFormat="1" applyFont="1" applyFill="1" applyBorder="1" applyAlignment="1">
      <alignment horizontal="center"/>
    </xf>
    <xf numFmtId="166" fontId="2" fillId="2" borderId="7" xfId="0" applyNumberFormat="1" applyFont="1" applyFill="1" applyBorder="1"/>
    <xf numFmtId="9" fontId="2" fillId="5" borderId="19" xfId="1" applyFont="1" applyFill="1" applyBorder="1" applyAlignment="1">
      <alignment horizontal="center"/>
    </xf>
    <xf numFmtId="165" fontId="2" fillId="5" borderId="18" xfId="0" applyNumberFormat="1" applyFont="1" applyFill="1" applyBorder="1"/>
    <xf numFmtId="165" fontId="2" fillId="5" borderId="19" xfId="0" applyNumberFormat="1" applyFont="1" applyFill="1" applyBorder="1"/>
    <xf numFmtId="10" fontId="2" fillId="5" borderId="6" xfId="1" applyNumberFormat="1" applyFont="1" applyFill="1" applyBorder="1" applyAlignment="1">
      <alignment horizontal="center"/>
    </xf>
    <xf numFmtId="166" fontId="2" fillId="5" borderId="7" xfId="0" applyNumberFormat="1" applyFont="1" applyFill="1" applyBorder="1"/>
    <xf numFmtId="0" fontId="0" fillId="0" borderId="0" xfId="0" applyFill="1" applyBorder="1"/>
    <xf numFmtId="0" fontId="7" fillId="3" borderId="0" xfId="0" applyFont="1" applyFill="1"/>
    <xf numFmtId="0" fontId="2" fillId="3" borderId="0" xfId="0" applyFont="1" applyFill="1" applyBorder="1"/>
    <xf numFmtId="0" fontId="7" fillId="3" borderId="0" xfId="0" applyFont="1" applyFill="1" applyAlignment="1">
      <alignment horizontal="right"/>
    </xf>
    <xf numFmtId="0" fontId="2" fillId="0" borderId="0" xfId="0" applyFont="1" applyFill="1" applyBorder="1"/>
    <xf numFmtId="0" fontId="7" fillId="0" borderId="0" xfId="0" applyFont="1" applyFill="1" applyBorder="1" applyAlignment="1">
      <alignment horizontal="right"/>
    </xf>
    <xf numFmtId="166" fontId="2" fillId="0" borderId="0" xfId="0" applyNumberFormat="1" applyFont="1" applyFill="1" applyBorder="1"/>
    <xf numFmtId="0" fontId="0" fillId="0" borderId="0" xfId="0" applyFill="1"/>
    <xf numFmtId="0" fontId="3" fillId="3" borderId="0" xfId="0" applyFont="1" applyFill="1" applyBorder="1"/>
    <xf numFmtId="0" fontId="3" fillId="0" borderId="0" xfId="0" applyFont="1" applyFill="1" applyBorder="1"/>
    <xf numFmtId="4" fontId="2" fillId="0" borderId="0" xfId="0" applyNumberFormat="1" applyFont="1" applyFill="1" applyBorder="1"/>
    <xf numFmtId="0" fontId="20" fillId="3" borderId="0" xfId="0" applyFont="1" applyFill="1" applyBorder="1" applyAlignment="1">
      <alignment horizontal="right"/>
    </xf>
    <xf numFmtId="9" fontId="2" fillId="3" borderId="0" xfId="1" applyFont="1" applyFill="1" applyBorder="1" applyAlignment="1">
      <alignment horizontal="center"/>
    </xf>
    <xf numFmtId="3" fontId="2" fillId="3" borderId="0" xfId="0" applyNumberFormat="1" applyFont="1" applyFill="1" applyBorder="1"/>
    <xf numFmtId="166" fontId="2" fillId="3" borderId="0" xfId="0" applyNumberFormat="1" applyFont="1" applyFill="1" applyBorder="1"/>
    <xf numFmtId="0" fontId="0" fillId="0" borderId="0" xfId="0" quotePrefix="1"/>
    <xf numFmtId="14" fontId="0" fillId="0" borderId="0" xfId="0" applyNumberFormat="1"/>
    <xf numFmtId="0" fontId="2" fillId="3" borderId="0" xfId="0" applyFont="1" applyFill="1"/>
    <xf numFmtId="0" fontId="2" fillId="0" borderId="2" xfId="0" applyFont="1" applyFill="1" applyBorder="1" applyAlignment="1">
      <alignment horizontal="center"/>
    </xf>
    <xf numFmtId="9" fontId="2" fillId="0" borderId="15" xfId="1" applyFont="1" applyFill="1" applyBorder="1"/>
    <xf numFmtId="165" fontId="10" fillId="0" borderId="20" xfId="0" applyNumberFormat="1" applyFont="1" applyFill="1" applyBorder="1"/>
    <xf numFmtId="0" fontId="4" fillId="0" borderId="3" xfId="0" applyFont="1" applyFill="1" applyBorder="1"/>
    <xf numFmtId="0" fontId="4" fillId="0" borderId="15" xfId="0" applyFont="1" applyFill="1" applyBorder="1"/>
    <xf numFmtId="9" fontId="2" fillId="0" borderId="7" xfId="1" applyFont="1" applyFill="1" applyBorder="1"/>
    <xf numFmtId="0" fontId="2" fillId="0" borderId="8" xfId="0" applyFont="1" applyFill="1" applyBorder="1" applyAlignment="1">
      <alignment horizontal="right"/>
    </xf>
    <xf numFmtId="9" fontId="2" fillId="0" borderId="5" xfId="1" applyFont="1" applyFill="1" applyBorder="1"/>
    <xf numFmtId="165" fontId="10" fillId="0" borderId="16" xfId="0" applyNumberFormat="1" applyFont="1" applyFill="1" applyBorder="1"/>
    <xf numFmtId="0" fontId="4" fillId="0" borderId="5" xfId="0" applyFont="1" applyFill="1" applyBorder="1"/>
    <xf numFmtId="9" fontId="2" fillId="0" borderId="8" xfId="1" applyFont="1" applyFill="1" applyBorder="1"/>
    <xf numFmtId="3" fontId="10" fillId="0" borderId="16" xfId="0" applyNumberFormat="1" applyFont="1" applyFill="1" applyBorder="1"/>
    <xf numFmtId="3" fontId="2" fillId="0" borderId="5" xfId="0" applyNumberFormat="1" applyFont="1" applyFill="1" applyBorder="1"/>
    <xf numFmtId="166" fontId="10" fillId="0" borderId="16" xfId="0" applyNumberFormat="1" applyFont="1" applyFill="1" applyBorder="1"/>
    <xf numFmtId="168" fontId="10" fillId="0" borderId="16" xfId="0" applyNumberFormat="1" applyFont="1" applyFill="1" applyBorder="1"/>
    <xf numFmtId="168" fontId="2" fillId="0" borderId="0" xfId="0" applyNumberFormat="1" applyFont="1" applyFill="1" applyBorder="1"/>
    <xf numFmtId="168" fontId="2" fillId="0" borderId="5" xfId="0" applyNumberFormat="1" applyFont="1" applyFill="1" applyBorder="1"/>
    <xf numFmtId="0" fontId="2" fillId="0" borderId="9" xfId="0" applyFont="1" applyFill="1" applyBorder="1" applyAlignment="1">
      <alignment horizontal="right"/>
    </xf>
    <xf numFmtId="9" fontId="2" fillId="0" borderId="17" xfId="1" applyFont="1" applyFill="1" applyBorder="1"/>
    <xf numFmtId="9" fontId="10" fillId="0" borderId="21" xfId="1" applyFont="1" applyFill="1" applyBorder="1"/>
    <xf numFmtId="0" fontId="4" fillId="0" borderId="2" xfId="0" applyFont="1" applyFill="1" applyBorder="1"/>
    <xf numFmtId="0" fontId="4" fillId="0" borderId="17" xfId="0" applyFont="1" applyFill="1" applyBorder="1"/>
    <xf numFmtId="9" fontId="2" fillId="0" borderId="9" xfId="1" applyFont="1" applyFill="1" applyBorder="1"/>
    <xf numFmtId="165" fontId="6" fillId="0" borderId="0" xfId="0" applyNumberFormat="1" applyFont="1" applyFill="1" applyBorder="1" applyAlignment="1">
      <alignment horizontal="center"/>
    </xf>
    <xf numFmtId="0" fontId="2" fillId="0" borderId="22" xfId="0" applyFont="1" applyFill="1" applyBorder="1"/>
    <xf numFmtId="0" fontId="4" fillId="0" borderId="23" xfId="0" applyFont="1" applyFill="1" applyBorder="1"/>
    <xf numFmtId="0" fontId="6" fillId="0" borderId="0" xfId="0" applyFont="1" applyFill="1" applyBorder="1" applyAlignment="1">
      <alignment horizontal="right"/>
    </xf>
    <xf numFmtId="9" fontId="6" fillId="0" borderId="0" xfId="1" applyFont="1" applyFill="1" applyBorder="1" applyAlignment="1">
      <alignment horizontal="center"/>
    </xf>
    <xf numFmtId="0" fontId="4" fillId="0" borderId="24" xfId="0" applyFont="1" applyFill="1" applyBorder="1"/>
    <xf numFmtId="0" fontId="6" fillId="0" borderId="12" xfId="0" applyFont="1" applyFill="1" applyBorder="1"/>
    <xf numFmtId="0" fontId="6" fillId="0" borderId="13" xfId="0" applyFont="1" applyFill="1" applyBorder="1"/>
    <xf numFmtId="166" fontId="6" fillId="0" borderId="14" xfId="0" quotePrefix="1" applyNumberFormat="1" applyFont="1" applyFill="1" applyBorder="1" applyAlignment="1">
      <alignment horizontal="right"/>
    </xf>
    <xf numFmtId="169" fontId="6" fillId="0" borderId="12" xfId="0" quotePrefix="1" applyNumberFormat="1" applyFont="1" applyFill="1" applyBorder="1" applyAlignment="1">
      <alignment horizontal="right"/>
    </xf>
    <xf numFmtId="0" fontId="6" fillId="0" borderId="14" xfId="0" applyFont="1" applyFill="1" applyBorder="1"/>
    <xf numFmtId="2" fontId="6" fillId="0" borderId="12" xfId="0" quotePrefix="1" applyNumberFormat="1" applyFont="1" applyFill="1" applyBorder="1" applyAlignment="1">
      <alignment horizontal="right"/>
    </xf>
    <xf numFmtId="0" fontId="27" fillId="0" borderId="7" xfId="0" applyFont="1" applyFill="1" applyBorder="1" applyAlignment="1">
      <alignment horizontal="center"/>
    </xf>
    <xf numFmtId="0" fontId="27" fillId="0" borderId="9" xfId="0" applyFont="1" applyFill="1" applyBorder="1" applyAlignment="1">
      <alignment horizontal="center"/>
    </xf>
    <xf numFmtId="0" fontId="27" fillId="0" borderId="2" xfId="0" applyFont="1" applyFill="1" applyBorder="1" applyAlignment="1">
      <alignment horizontal="center"/>
    </xf>
    <xf numFmtId="0" fontId="27" fillId="0" borderId="17" xfId="0" applyFont="1" applyFill="1" applyBorder="1" applyAlignment="1">
      <alignment horizontal="center"/>
    </xf>
    <xf numFmtId="0" fontId="6" fillId="0" borderId="20" xfId="0" applyFont="1" applyFill="1" applyBorder="1" applyAlignment="1">
      <alignment horizontal="right"/>
    </xf>
    <xf numFmtId="9" fontId="2" fillId="0" borderId="3" xfId="1" applyFont="1" applyFill="1" applyBorder="1" applyAlignment="1">
      <alignment horizontal="center"/>
    </xf>
    <xf numFmtId="165" fontId="7" fillId="0" borderId="20" xfId="0" applyNumberFormat="1" applyFont="1" applyFill="1" applyBorder="1"/>
    <xf numFmtId="165" fontId="6" fillId="0" borderId="0" xfId="0" applyNumberFormat="1" applyFont="1" applyFill="1" applyBorder="1"/>
    <xf numFmtId="10" fontId="2" fillId="0" borderId="6" xfId="1" applyNumberFormat="1" applyFont="1" applyFill="1" applyBorder="1" applyAlignment="1">
      <alignment horizontal="center"/>
    </xf>
    <xf numFmtId="166" fontId="2" fillId="0" borderId="7" xfId="0" applyNumberFormat="1" applyFont="1" applyFill="1" applyBorder="1"/>
    <xf numFmtId="166" fontId="2" fillId="0" borderId="8" xfId="0" applyNumberFormat="1" applyFont="1" applyFill="1" applyBorder="1"/>
    <xf numFmtId="4" fontId="2" fillId="0" borderId="9" xfId="0" applyNumberFormat="1" applyFont="1" applyFill="1" applyBorder="1"/>
    <xf numFmtId="0" fontId="2" fillId="0" borderId="3" xfId="0" applyFont="1" applyFill="1" applyBorder="1"/>
    <xf numFmtId="0" fontId="2" fillId="0" borderId="16" xfId="0" applyFont="1" applyFill="1" applyBorder="1"/>
    <xf numFmtId="0" fontId="2" fillId="0" borderId="5" xfId="0" applyFont="1" applyFill="1" applyBorder="1"/>
    <xf numFmtId="0" fontId="2" fillId="0" borderId="0" xfId="0" applyFont="1" applyFill="1" applyBorder="1" applyAlignment="1">
      <alignment horizontal="center"/>
    </xf>
    <xf numFmtId="0" fontId="2" fillId="0" borderId="21" xfId="0" applyFont="1" applyFill="1" applyBorder="1"/>
    <xf numFmtId="0" fontId="2" fillId="0" borderId="2" xfId="0" applyFont="1" applyFill="1" applyBorder="1"/>
    <xf numFmtId="37" fontId="23" fillId="0" borderId="0" xfId="0" applyNumberFormat="1" applyFont="1"/>
    <xf numFmtId="5" fontId="2" fillId="0" borderId="0" xfId="0" applyNumberFormat="1" applyFont="1" applyAlignment="1">
      <alignment horizontal="right"/>
    </xf>
    <xf numFmtId="5" fontId="16" fillId="2" borderId="25" xfId="0" applyNumberFormat="1" applyFont="1" applyFill="1" applyBorder="1"/>
    <xf numFmtId="37" fontId="2" fillId="0" borderId="0" xfId="0" applyNumberFormat="1" applyFont="1" applyAlignment="1">
      <alignment horizontal="right"/>
    </xf>
    <xf numFmtId="37" fontId="16" fillId="0" borderId="2" xfId="0" applyNumberFormat="1" applyFont="1" applyBorder="1" applyAlignment="1">
      <alignment horizontal="right"/>
    </xf>
    <xf numFmtId="5" fontId="2" fillId="0" borderId="25" xfId="0" applyNumberFormat="1" applyFont="1" applyBorder="1" applyAlignment="1">
      <alignment horizontal="right" vertical="center"/>
    </xf>
    <xf numFmtId="5" fontId="16" fillId="0" borderId="25" xfId="0" applyNumberFormat="1" applyFont="1" applyBorder="1" applyAlignment="1">
      <alignment horizontal="right" vertical="center"/>
    </xf>
    <xf numFmtId="5" fontId="16" fillId="2" borderId="0" xfId="0" applyNumberFormat="1" applyFont="1" applyFill="1" applyAlignment="1">
      <alignment horizontal="center"/>
    </xf>
    <xf numFmtId="5" fontId="2" fillId="2" borderId="12" xfId="0" applyNumberFormat="1" applyFont="1" applyFill="1" applyBorder="1"/>
    <xf numFmtId="0" fontId="13" fillId="5" borderId="20" xfId="0" applyFont="1" applyFill="1" applyBorder="1"/>
    <xf numFmtId="37" fontId="26" fillId="5" borderId="3" xfId="0" applyNumberFormat="1" applyFont="1" applyFill="1" applyBorder="1" applyAlignment="1">
      <alignment horizontal="center"/>
    </xf>
    <xf numFmtId="37" fontId="6" fillId="5" borderId="3" xfId="0" applyNumberFormat="1" applyFont="1" applyFill="1" applyBorder="1" applyAlignment="1">
      <alignment horizontal="right"/>
    </xf>
    <xf numFmtId="9" fontId="6" fillId="5" borderId="3" xfId="1" applyFont="1" applyFill="1" applyBorder="1" applyAlignment="1">
      <alignment horizontal="center"/>
    </xf>
    <xf numFmtId="37" fontId="2" fillId="5" borderId="15" xfId="0" applyNumberFormat="1" applyFont="1" applyFill="1" applyBorder="1"/>
    <xf numFmtId="37" fontId="26" fillId="5" borderId="0" xfId="0" applyNumberFormat="1" applyFont="1" applyFill="1" applyBorder="1"/>
    <xf numFmtId="37" fontId="2" fillId="5" borderId="5" xfId="0" applyNumberFormat="1" applyFont="1" applyFill="1" applyBorder="1"/>
    <xf numFmtId="37" fontId="26" fillId="5" borderId="16" xfId="0" applyNumberFormat="1" applyFont="1" applyFill="1" applyBorder="1" applyAlignment="1">
      <alignment horizontal="center" vertical="center"/>
    </xf>
    <xf numFmtId="37" fontId="26" fillId="5" borderId="0" xfId="0" quotePrefix="1" applyNumberFormat="1" applyFont="1" applyFill="1" applyBorder="1" applyAlignment="1">
      <alignment horizontal="left"/>
    </xf>
    <xf numFmtId="37" fontId="26" fillId="5" borderId="0" xfId="0" applyNumberFormat="1" applyFont="1" applyFill="1" applyBorder="1" applyAlignment="1">
      <alignment horizontal="center"/>
    </xf>
    <xf numFmtId="0" fontId="33" fillId="5" borderId="16" xfId="0" applyFont="1" applyFill="1" applyBorder="1"/>
    <xf numFmtId="5" fontId="26" fillId="5" borderId="0" xfId="0" applyNumberFormat="1" applyFont="1" applyFill="1" applyBorder="1" applyAlignment="1">
      <alignment horizontal="center"/>
    </xf>
    <xf numFmtId="5" fontId="7" fillId="5" borderId="16" xfId="0" applyNumberFormat="1" applyFont="1" applyFill="1" applyBorder="1" applyAlignment="1">
      <alignment horizontal="right"/>
    </xf>
    <xf numFmtId="5" fontId="7" fillId="5" borderId="0" xfId="0" applyNumberFormat="1" applyFont="1" applyFill="1" applyBorder="1" applyAlignment="1">
      <alignment horizontal="left"/>
    </xf>
    <xf numFmtId="5" fontId="48" fillId="5" borderId="0" xfId="0" applyNumberFormat="1" applyFont="1" applyFill="1" applyBorder="1" applyAlignment="1">
      <alignment horizontal="right"/>
    </xf>
    <xf numFmtId="164" fontId="48" fillId="5" borderId="0" xfId="0" applyNumberFormat="1" applyFont="1" applyFill="1" applyBorder="1"/>
    <xf numFmtId="0" fontId="0" fillId="5" borderId="0" xfId="0" applyFill="1" applyBorder="1"/>
    <xf numFmtId="5" fontId="7" fillId="5" borderId="0" xfId="0" applyNumberFormat="1" applyFont="1" applyFill="1" applyBorder="1"/>
    <xf numFmtId="37" fontId="2" fillId="5" borderId="0" xfId="0" applyNumberFormat="1" applyFont="1" applyFill="1" applyBorder="1"/>
    <xf numFmtId="0" fontId="0" fillId="5" borderId="16" xfId="0" applyFill="1" applyBorder="1"/>
    <xf numFmtId="37" fontId="7" fillId="5" borderId="0" xfId="0" applyNumberFormat="1" applyFont="1" applyFill="1" applyBorder="1" applyAlignment="1">
      <alignment horizontal="center"/>
    </xf>
    <xf numFmtId="37" fontId="7" fillId="5" borderId="0" xfId="0" applyNumberFormat="1" applyFont="1" applyFill="1" applyBorder="1"/>
    <xf numFmtId="5" fontId="7" fillId="5" borderId="16" xfId="0" applyNumberFormat="1" applyFont="1" applyFill="1" applyBorder="1" applyAlignment="1">
      <alignment horizontal="right" vertical="top"/>
    </xf>
    <xf numFmtId="5" fontId="7" fillId="5" borderId="0" xfId="0" applyNumberFormat="1" applyFont="1" applyFill="1" applyBorder="1" applyAlignment="1">
      <alignment horizontal="left" vertical="top"/>
    </xf>
    <xf numFmtId="5" fontId="48" fillId="5" borderId="0" xfId="0" applyNumberFormat="1" applyFont="1" applyFill="1" applyBorder="1" applyAlignment="1">
      <alignment horizontal="right" vertical="top"/>
    </xf>
    <xf numFmtId="164" fontId="48" fillId="5" borderId="0" xfId="0" applyNumberFormat="1" applyFont="1" applyFill="1" applyBorder="1" applyAlignment="1">
      <alignment vertical="top"/>
    </xf>
    <xf numFmtId="37" fontId="13" fillId="2" borderId="20" xfId="0" applyNumberFormat="1" applyFont="1" applyFill="1" applyBorder="1" applyAlignment="1">
      <alignment horizontal="left"/>
    </xf>
    <xf numFmtId="37" fontId="2" fillId="2" borderId="3" xfId="0" applyNumberFormat="1" applyFont="1" applyFill="1" applyBorder="1"/>
    <xf numFmtId="37" fontId="6" fillId="2" borderId="3" xfId="0" applyNumberFormat="1" applyFont="1" applyFill="1" applyBorder="1" applyAlignment="1">
      <alignment horizontal="right"/>
    </xf>
    <xf numFmtId="9" fontId="6" fillId="2" borderId="3" xfId="1" applyFont="1" applyFill="1" applyBorder="1" applyAlignment="1">
      <alignment horizontal="center"/>
    </xf>
    <xf numFmtId="37" fontId="2" fillId="2" borderId="15" xfId="0" applyNumberFormat="1" applyFont="1" applyFill="1" applyBorder="1"/>
    <xf numFmtId="37" fontId="26" fillId="2" borderId="0" xfId="0" applyNumberFormat="1" applyFont="1" applyFill="1" applyBorder="1"/>
    <xf numFmtId="37" fontId="2" fillId="2" borderId="5" xfId="0" applyNumberFormat="1" applyFont="1" applyFill="1" applyBorder="1"/>
    <xf numFmtId="37" fontId="26" fillId="2" borderId="16" xfId="0" applyNumberFormat="1" applyFont="1" applyFill="1" applyBorder="1" applyAlignment="1">
      <alignment horizontal="center" vertical="center"/>
    </xf>
    <xf numFmtId="37" fontId="26" fillId="2" borderId="0" xfId="0" quotePrefix="1" applyNumberFormat="1" applyFont="1" applyFill="1" applyBorder="1" applyAlignment="1">
      <alignment horizontal="left"/>
    </xf>
    <xf numFmtId="37" fontId="26" fillId="2" borderId="0" xfId="0" applyNumberFormat="1" applyFont="1" applyFill="1" applyBorder="1" applyAlignment="1">
      <alignment horizontal="center"/>
    </xf>
    <xf numFmtId="0" fontId="33" fillId="2" borderId="16" xfId="0" applyFont="1" applyFill="1" applyBorder="1"/>
    <xf numFmtId="5" fontId="26" fillId="2" borderId="0" xfId="0" applyNumberFormat="1" applyFont="1" applyFill="1" applyBorder="1" applyAlignment="1">
      <alignment horizontal="center"/>
    </xf>
    <xf numFmtId="5" fontId="7" fillId="2" borderId="16" xfId="0" applyNumberFormat="1" applyFont="1" applyFill="1" applyBorder="1" applyAlignment="1">
      <alignment horizontal="right"/>
    </xf>
    <xf numFmtId="5" fontId="7" fillId="2" borderId="0" xfId="0" applyNumberFormat="1" applyFont="1" applyFill="1" applyBorder="1" applyAlignment="1">
      <alignment horizontal="left"/>
    </xf>
    <xf numFmtId="5" fontId="7" fillId="2" borderId="0" xfId="0" applyNumberFormat="1" applyFont="1" applyFill="1" applyBorder="1" applyAlignment="1">
      <alignment horizontal="center"/>
    </xf>
    <xf numFmtId="0" fontId="0" fillId="2" borderId="0" xfId="0" applyFill="1" applyBorder="1"/>
    <xf numFmtId="5" fontId="7" fillId="2" borderId="0" xfId="0" applyNumberFormat="1" applyFont="1" applyFill="1" applyBorder="1"/>
    <xf numFmtId="37" fontId="2" fillId="2" borderId="0" xfId="0" applyNumberFormat="1" applyFont="1" applyFill="1" applyBorder="1"/>
    <xf numFmtId="37" fontId="48" fillId="2" borderId="16" xfId="0" applyNumberFormat="1" applyFont="1" applyFill="1" applyBorder="1" applyAlignment="1">
      <alignment horizontal="right"/>
    </xf>
    <xf numFmtId="164" fontId="48" fillId="2" borderId="0" xfId="0" applyNumberFormat="1" applyFont="1" applyFill="1" applyBorder="1" applyAlignment="1">
      <alignment horizontal="left"/>
    </xf>
    <xf numFmtId="37" fontId="26" fillId="2" borderId="0" xfId="0" applyNumberFormat="1" applyFont="1" applyFill="1" applyBorder="1" applyAlignment="1">
      <alignment horizontal="right"/>
    </xf>
    <xf numFmtId="9" fontId="26" fillId="2" borderId="0" xfId="1" applyFont="1" applyFill="1" applyBorder="1" applyAlignment="1">
      <alignment horizontal="center"/>
    </xf>
    <xf numFmtId="0" fontId="0" fillId="2" borderId="16" xfId="0" applyFill="1" applyBorder="1"/>
    <xf numFmtId="37" fontId="7" fillId="2" borderId="0" xfId="0" applyNumberFormat="1" applyFont="1" applyFill="1" applyBorder="1" applyAlignment="1">
      <alignment horizontal="center"/>
    </xf>
    <xf numFmtId="37" fontId="7" fillId="2" borderId="0" xfId="0" applyNumberFormat="1" applyFont="1" applyFill="1" applyBorder="1"/>
    <xf numFmtId="37" fontId="6" fillId="2" borderId="0" xfId="0" applyNumberFormat="1" applyFont="1" applyFill="1" applyBorder="1"/>
    <xf numFmtId="37" fontId="35" fillId="2" borderId="16" xfId="0" quotePrefix="1" applyNumberFormat="1" applyFont="1" applyFill="1" applyBorder="1" applyAlignment="1">
      <alignment horizontal="left"/>
    </xf>
    <xf numFmtId="0" fontId="26" fillId="2" borderId="0" xfId="0" applyFont="1" applyFill="1" applyBorder="1"/>
    <xf numFmtId="37" fontId="10" fillId="2" borderId="0" xfId="0" applyNumberFormat="1" applyFont="1" applyFill="1" applyBorder="1" applyAlignment="1">
      <alignment horizontal="center"/>
    </xf>
    <xf numFmtId="5" fontId="10" fillId="2" borderId="0" xfId="0" applyNumberFormat="1" applyFont="1" applyFill="1" applyBorder="1" applyAlignment="1">
      <alignment horizontal="center"/>
    </xf>
    <xf numFmtId="5" fontId="10" fillId="2" borderId="0" xfId="0" applyNumberFormat="1" applyFont="1" applyFill="1" applyBorder="1"/>
    <xf numFmtId="5" fontId="36" fillId="2" borderId="2" xfId="0" applyNumberFormat="1" applyFont="1" applyFill="1" applyBorder="1"/>
    <xf numFmtId="5" fontId="10" fillId="2" borderId="2" xfId="0" applyNumberFormat="1" applyFont="1" applyFill="1" applyBorder="1" applyAlignment="1">
      <alignment horizontal="center"/>
    </xf>
    <xf numFmtId="0" fontId="37" fillId="2" borderId="16" xfId="0" applyFont="1" applyFill="1" applyBorder="1"/>
    <xf numFmtId="5" fontId="7" fillId="2" borderId="18" xfId="0" applyNumberFormat="1" applyFont="1" applyFill="1" applyBorder="1" applyAlignment="1">
      <alignment horizontal="right"/>
    </xf>
    <xf numFmtId="5" fontId="7" fillId="2" borderId="1" xfId="0" applyNumberFormat="1" applyFont="1" applyFill="1" applyBorder="1" applyAlignment="1">
      <alignment horizontal="center"/>
    </xf>
    <xf numFmtId="5" fontId="7" fillId="2" borderId="2" xfId="0" applyNumberFormat="1" applyFont="1" applyFill="1" applyBorder="1"/>
    <xf numFmtId="37" fontId="48" fillId="2" borderId="2" xfId="0" applyNumberFormat="1" applyFont="1" applyFill="1" applyBorder="1" applyAlignment="1">
      <alignment horizontal="right"/>
    </xf>
    <xf numFmtId="5" fontId="38" fillId="2" borderId="2" xfId="0" applyNumberFormat="1" applyFont="1" applyFill="1" applyBorder="1"/>
    <xf numFmtId="37" fontId="2" fillId="2" borderId="2" xfId="0" applyNumberFormat="1" applyFont="1" applyFill="1" applyBorder="1"/>
    <xf numFmtId="37" fontId="2" fillId="2" borderId="17" xfId="0" applyNumberFormat="1" applyFont="1" applyFill="1" applyBorder="1"/>
    <xf numFmtId="37" fontId="39" fillId="4" borderId="16" xfId="0" applyNumberFormat="1" applyFont="1" applyFill="1" applyBorder="1"/>
    <xf numFmtId="37" fontId="2" fillId="4" borderId="0" xfId="0" applyNumberFormat="1" applyFont="1" applyFill="1" applyBorder="1"/>
    <xf numFmtId="37" fontId="2" fillId="4" borderId="5" xfId="0" applyNumberFormat="1" applyFont="1" applyFill="1" applyBorder="1"/>
    <xf numFmtId="0" fontId="2" fillId="4" borderId="16" xfId="0" applyFont="1" applyFill="1" applyBorder="1"/>
    <xf numFmtId="0" fontId="0" fillId="4" borderId="16" xfId="0" applyFill="1" applyBorder="1"/>
    <xf numFmtId="0" fontId="0" fillId="4" borderId="0" xfId="0" applyFill="1" applyBorder="1"/>
    <xf numFmtId="0" fontId="2" fillId="4" borderId="0" xfId="0" applyFont="1" applyFill="1" applyBorder="1"/>
    <xf numFmtId="37" fontId="2" fillId="4" borderId="2" xfId="0" applyNumberFormat="1" applyFont="1" applyFill="1" applyBorder="1"/>
    <xf numFmtId="0" fontId="0" fillId="4" borderId="0" xfId="0" applyFill="1"/>
    <xf numFmtId="0" fontId="2" fillId="4" borderId="0" xfId="0" applyFont="1" applyFill="1" applyBorder="1" applyAlignment="1">
      <alignment horizontal="right"/>
    </xf>
    <xf numFmtId="164" fontId="2" fillId="4" borderId="0" xfId="1" applyNumberFormat="1" applyFont="1" applyFill="1" applyBorder="1"/>
    <xf numFmtId="0" fontId="0" fillId="4" borderId="5" xfId="0" applyFill="1" applyBorder="1"/>
    <xf numFmtId="0" fontId="7" fillId="4" borderId="0" xfId="0" applyFont="1" applyFill="1" applyBorder="1" applyAlignment="1">
      <alignment horizontal="right"/>
    </xf>
    <xf numFmtId="165" fontId="7" fillId="4" borderId="6" xfId="0" applyNumberFormat="1" applyFont="1" applyFill="1" applyBorder="1"/>
    <xf numFmtId="0" fontId="0" fillId="4" borderId="21" xfId="0" applyFill="1" applyBorder="1"/>
    <xf numFmtId="0" fontId="0" fillId="4" borderId="2" xfId="0" applyFill="1" applyBorder="1"/>
    <xf numFmtId="0" fontId="0" fillId="4" borderId="17" xfId="0" applyFill="1" applyBorder="1"/>
    <xf numFmtId="14" fontId="10" fillId="0" borderId="0" xfId="0" quotePrefix="1" applyNumberFormat="1" applyFont="1" applyFill="1" applyBorder="1" applyAlignment="1">
      <alignment horizontal="center"/>
    </xf>
    <xf numFmtId="0" fontId="0" fillId="0" borderId="0" xfId="0" applyBorder="1"/>
    <xf numFmtId="0" fontId="36" fillId="0" borderId="0" xfId="0" applyFont="1"/>
    <xf numFmtId="0" fontId="4" fillId="0" borderId="0" xfId="0" applyFont="1" applyAlignment="1">
      <alignment horizontal="center"/>
    </xf>
    <xf numFmtId="0" fontId="4" fillId="0" borderId="0" xfId="0" applyFont="1" applyBorder="1" applyAlignment="1">
      <alignment horizontal="center"/>
    </xf>
    <xf numFmtId="3" fontId="4" fillId="0" borderId="0" xfId="0" applyNumberFormat="1" applyFont="1"/>
    <xf numFmtId="166" fontId="4" fillId="0" borderId="0" xfId="0" applyNumberFormat="1" applyFont="1" applyBorder="1"/>
    <xf numFmtId="168" fontId="4" fillId="0" borderId="0" xfId="0" applyNumberFormat="1" applyFont="1"/>
    <xf numFmtId="0" fontId="4" fillId="7" borderId="0" xfId="0" applyFont="1" applyFill="1"/>
    <xf numFmtId="165" fontId="4" fillId="7" borderId="0" xfId="0" applyNumberFormat="1" applyFont="1" applyFill="1"/>
    <xf numFmtId="3" fontId="4" fillId="7" borderId="2" xfId="0" applyNumberFormat="1" applyFont="1" applyFill="1" applyBorder="1"/>
    <xf numFmtId="165" fontId="4" fillId="0" borderId="19" xfId="0" applyNumberFormat="1" applyFont="1" applyBorder="1"/>
    <xf numFmtId="3" fontId="4" fillId="0" borderId="2" xfId="0" applyNumberFormat="1" applyFont="1" applyBorder="1"/>
    <xf numFmtId="165" fontId="4" fillId="0" borderId="0" xfId="0" applyNumberFormat="1" applyFont="1" applyBorder="1"/>
    <xf numFmtId="0" fontId="12" fillId="0" borderId="0" xfId="0" applyFont="1" applyFill="1" applyBorder="1"/>
    <xf numFmtId="3" fontId="4" fillId="0" borderId="0" xfId="0" applyNumberFormat="1" applyFont="1" applyBorder="1"/>
    <xf numFmtId="165" fontId="4" fillId="0" borderId="2" xfId="0" applyNumberFormat="1" applyFont="1" applyBorder="1"/>
    <xf numFmtId="165" fontId="2" fillId="0" borderId="32" xfId="0" applyNumberFormat="1" applyFont="1" applyBorder="1"/>
    <xf numFmtId="0" fontId="43" fillId="0" borderId="0" xfId="0" applyFont="1" applyBorder="1" applyAlignment="1">
      <alignment horizontal="right"/>
    </xf>
    <xf numFmtId="0" fontId="4" fillId="0" borderId="0" xfId="0" applyFont="1" applyBorder="1" applyAlignment="1">
      <alignment horizontal="right"/>
    </xf>
    <xf numFmtId="9" fontId="4" fillId="0" borderId="0" xfId="1" applyFont="1" applyBorder="1" applyAlignment="1">
      <alignment horizontal="center"/>
    </xf>
    <xf numFmtId="165" fontId="4" fillId="0" borderId="0" xfId="0" applyNumberFormat="1" applyFont="1" applyBorder="1" applyAlignment="1">
      <alignment horizontal="center"/>
    </xf>
    <xf numFmtId="165" fontId="4" fillId="0" borderId="0" xfId="0" applyNumberFormat="1" applyFont="1" applyBorder="1" applyAlignment="1">
      <alignment horizontal="right"/>
    </xf>
    <xf numFmtId="165" fontId="4" fillId="0" borderId="0" xfId="1" applyNumberFormat="1" applyFont="1" applyBorder="1" applyAlignment="1">
      <alignment horizontal="right"/>
    </xf>
    <xf numFmtId="165" fontId="4" fillId="0" borderId="0" xfId="0" applyNumberFormat="1" applyFont="1" applyFill="1" applyBorder="1"/>
    <xf numFmtId="0" fontId="4" fillId="0" borderId="0" xfId="0" applyFont="1" applyFill="1"/>
    <xf numFmtId="9" fontId="12" fillId="0" borderId="0" xfId="1" applyFont="1" applyBorder="1" applyAlignment="1">
      <alignment horizontal="left"/>
    </xf>
    <xf numFmtId="10" fontId="4" fillId="0" borderId="0" xfId="0" applyNumberFormat="1" applyFont="1" applyBorder="1"/>
    <xf numFmtId="166" fontId="4" fillId="0" borderId="0" xfId="0" applyNumberFormat="1" applyFont="1"/>
    <xf numFmtId="0" fontId="40" fillId="0" borderId="20" xfId="0" applyFont="1" applyFill="1" applyBorder="1"/>
    <xf numFmtId="0" fontId="49" fillId="0" borderId="15" xfId="0" quotePrefix="1" applyFont="1" applyFill="1" applyBorder="1"/>
    <xf numFmtId="0" fontId="8" fillId="0" borderId="16" xfId="0" applyFont="1" applyFill="1" applyBorder="1"/>
    <xf numFmtId="0" fontId="2" fillId="0" borderId="17" xfId="0" applyFont="1" applyFill="1" applyBorder="1" applyAlignment="1">
      <alignment horizontal="center"/>
    </xf>
    <xf numFmtId="0" fontId="12" fillId="0" borderId="16" xfId="0" applyFont="1" applyFill="1" applyBorder="1"/>
    <xf numFmtId="0" fontId="24" fillId="0" borderId="0" xfId="0" applyFont="1" applyFill="1" applyBorder="1"/>
    <xf numFmtId="0" fontId="10" fillId="0" borderId="0" xfId="0" applyFont="1" applyFill="1" applyBorder="1"/>
    <xf numFmtId="0" fontId="15" fillId="0" borderId="0" xfId="0" applyFont="1" applyFill="1" applyBorder="1"/>
    <xf numFmtId="0" fontId="2" fillId="0" borderId="5" xfId="0" applyFont="1" applyFill="1" applyBorder="1" applyAlignment="1">
      <alignment horizontal="center"/>
    </xf>
    <xf numFmtId="166" fontId="2" fillId="0" borderId="5" xfId="0" applyNumberFormat="1" applyFont="1" applyFill="1" applyBorder="1"/>
    <xf numFmtId="3" fontId="26" fillId="0" borderId="2" xfId="0" applyNumberFormat="1" applyFont="1" applyFill="1" applyBorder="1"/>
    <xf numFmtId="3" fontId="26" fillId="0" borderId="17" xfId="0" applyNumberFormat="1" applyFont="1" applyFill="1" applyBorder="1"/>
    <xf numFmtId="165" fontId="2" fillId="0" borderId="19" xfId="0" applyNumberFormat="1" applyFont="1" applyFill="1" applyBorder="1"/>
    <xf numFmtId="165" fontId="2" fillId="0" borderId="1" xfId="0" applyNumberFormat="1" applyFont="1" applyFill="1" applyBorder="1"/>
    <xf numFmtId="9" fontId="2" fillId="0" borderId="0" xfId="1" applyFont="1" applyFill="1" applyBorder="1" applyAlignment="1">
      <alignment horizontal="left"/>
    </xf>
    <xf numFmtId="3" fontId="2" fillId="0" borderId="17" xfId="0" applyNumberFormat="1" applyFont="1" applyFill="1" applyBorder="1"/>
    <xf numFmtId="165" fontId="7" fillId="0" borderId="25" xfId="0" applyNumberFormat="1" applyFont="1" applyFill="1" applyBorder="1"/>
    <xf numFmtId="165" fontId="6" fillId="0" borderId="25" xfId="0" applyNumberFormat="1" applyFont="1" applyFill="1" applyBorder="1"/>
    <xf numFmtId="165" fontId="6" fillId="0" borderId="33" xfId="0" applyNumberFormat="1" applyFont="1" applyFill="1" applyBorder="1"/>
    <xf numFmtId="165" fontId="7" fillId="0" borderId="2" xfId="0" applyNumberFormat="1" applyFont="1" applyFill="1" applyBorder="1"/>
    <xf numFmtId="165" fontId="6" fillId="0" borderId="2" xfId="0" applyNumberFormat="1" applyFont="1" applyFill="1" applyBorder="1"/>
    <xf numFmtId="165" fontId="6" fillId="0" borderId="17" xfId="0" applyNumberFormat="1" applyFont="1" applyFill="1" applyBorder="1"/>
    <xf numFmtId="0" fontId="7" fillId="0" borderId="16" xfId="0" applyFont="1" applyFill="1" applyBorder="1"/>
    <xf numFmtId="9" fontId="12" fillId="0" borderId="14" xfId="1" applyFont="1" applyFill="1" applyBorder="1" applyAlignment="1">
      <alignment horizontal="center"/>
    </xf>
    <xf numFmtId="0" fontId="26" fillId="0" borderId="0" xfId="0" applyFont="1" applyFill="1" applyBorder="1"/>
    <xf numFmtId="165" fontId="26" fillId="0" borderId="0" xfId="0" applyNumberFormat="1" applyFont="1" applyFill="1" applyBorder="1" applyAlignment="1">
      <alignment horizontal="center"/>
    </xf>
    <xf numFmtId="165" fontId="26" fillId="0" borderId="5" xfId="0" applyNumberFormat="1" applyFont="1" applyFill="1" applyBorder="1" applyAlignment="1">
      <alignment horizontal="center"/>
    </xf>
    <xf numFmtId="0" fontId="4" fillId="0" borderId="16" xfId="0" applyFont="1" applyFill="1" applyBorder="1"/>
    <xf numFmtId="0" fontId="50" fillId="0" borderId="0" xfId="0" applyFont="1" applyFill="1" applyBorder="1"/>
    <xf numFmtId="165" fontId="50" fillId="0" borderId="0" xfId="0" applyNumberFormat="1" applyFont="1" applyFill="1" applyBorder="1"/>
    <xf numFmtId="3" fontId="50" fillId="0" borderId="0" xfId="0" applyNumberFormat="1" applyFont="1" applyFill="1" applyBorder="1"/>
    <xf numFmtId="0" fontId="50" fillId="0" borderId="16" xfId="0" applyFont="1" applyFill="1" applyBorder="1"/>
    <xf numFmtId="165" fontId="50" fillId="0" borderId="5" xfId="0" applyNumberFormat="1" applyFont="1" applyFill="1" applyBorder="1"/>
    <xf numFmtId="0" fontId="50" fillId="0" borderId="16" xfId="0" applyFont="1" applyFill="1" applyBorder="1" applyAlignment="1">
      <alignment horizontal="left"/>
    </xf>
    <xf numFmtId="3" fontId="50" fillId="0" borderId="5" xfId="0" applyNumberFormat="1" applyFont="1" applyFill="1" applyBorder="1"/>
    <xf numFmtId="0" fontId="51" fillId="8" borderId="0" xfId="0" applyFont="1" applyFill="1" applyBorder="1"/>
    <xf numFmtId="0" fontId="2" fillId="0" borderId="13" xfId="0" applyFont="1" applyFill="1" applyBorder="1"/>
    <xf numFmtId="0" fontId="2" fillId="0" borderId="12" xfId="0" applyFont="1" applyFill="1" applyBorder="1"/>
    <xf numFmtId="0" fontId="2" fillId="0" borderId="14" xfId="0" applyFont="1" applyFill="1" applyBorder="1"/>
    <xf numFmtId="0" fontId="2" fillId="0" borderId="28" xfId="0" applyFont="1" applyFill="1" applyBorder="1"/>
    <xf numFmtId="0" fontId="52" fillId="9" borderId="0" xfId="0" applyFont="1" applyFill="1" applyBorder="1" applyAlignment="1">
      <alignment horizontal="right"/>
    </xf>
    <xf numFmtId="0" fontId="52" fillId="9" borderId="12" xfId="0" applyFont="1" applyFill="1" applyBorder="1"/>
    <xf numFmtId="166" fontId="52" fillId="9" borderId="14" xfId="0" quotePrefix="1" applyNumberFormat="1" applyFont="1" applyFill="1" applyBorder="1" applyAlignment="1">
      <alignment horizontal="right"/>
    </xf>
    <xf numFmtId="169" fontId="52" fillId="9" borderId="12" xfId="0" quotePrefix="1" applyNumberFormat="1" applyFont="1" applyFill="1" applyBorder="1" applyAlignment="1">
      <alignment horizontal="right"/>
    </xf>
    <xf numFmtId="2" fontId="52" fillId="9" borderId="12" xfId="0" quotePrefix="1" applyNumberFormat="1" applyFont="1" applyFill="1" applyBorder="1" applyAlignment="1">
      <alignment horizontal="right"/>
    </xf>
    <xf numFmtId="0" fontId="52" fillId="9" borderId="20" xfId="0" applyFont="1" applyFill="1" applyBorder="1"/>
    <xf numFmtId="0" fontId="52" fillId="9" borderId="3" xfId="0" applyFont="1" applyFill="1" applyBorder="1"/>
    <xf numFmtId="0" fontId="53" fillId="9" borderId="3" xfId="0" applyFont="1" applyFill="1" applyBorder="1" applyAlignment="1">
      <alignment horizontal="right"/>
    </xf>
    <xf numFmtId="0" fontId="52" fillId="9" borderId="3" xfId="0" applyFont="1" applyFill="1" applyBorder="1" applyAlignment="1">
      <alignment horizontal="center"/>
    </xf>
    <xf numFmtId="0" fontId="52" fillId="9" borderId="19" xfId="0" applyFont="1" applyFill="1" applyBorder="1" applyAlignment="1">
      <alignment horizontal="center"/>
    </xf>
    <xf numFmtId="0" fontId="52" fillId="9" borderId="1" xfId="0" applyFont="1" applyFill="1" applyBorder="1" applyAlignment="1">
      <alignment horizontal="center"/>
    </xf>
    <xf numFmtId="0" fontId="54" fillId="9" borderId="16" xfId="0" applyFont="1" applyFill="1" applyBorder="1"/>
    <xf numFmtId="165" fontId="52" fillId="9" borderId="0" xfId="0" applyNumberFormat="1" applyFont="1" applyFill="1" applyBorder="1" applyAlignment="1">
      <alignment horizontal="center"/>
    </xf>
    <xf numFmtId="0" fontId="52" fillId="9" borderId="0" xfId="0" applyFont="1" applyFill="1" applyBorder="1"/>
    <xf numFmtId="0" fontId="52" fillId="9" borderId="0" xfId="0" applyFont="1" applyFill="1" applyBorder="1" applyAlignment="1">
      <alignment horizontal="center"/>
    </xf>
    <xf numFmtId="9" fontId="52" fillId="9" borderId="0" xfId="1" applyFont="1" applyFill="1" applyBorder="1" applyAlignment="1">
      <alignment horizontal="center"/>
    </xf>
    <xf numFmtId="9" fontId="52" fillId="9" borderId="5" xfId="1" applyFont="1" applyFill="1" applyBorder="1" applyAlignment="1">
      <alignment horizontal="center"/>
    </xf>
    <xf numFmtId="0" fontId="54" fillId="9" borderId="34" xfId="0" applyFont="1" applyFill="1" applyBorder="1"/>
    <xf numFmtId="0" fontId="52" fillId="9" borderId="4" xfId="0" applyFont="1" applyFill="1" applyBorder="1" applyAlignment="1">
      <alignment horizontal="right"/>
    </xf>
    <xf numFmtId="165" fontId="52" fillId="9" borderId="4" xfId="0" applyNumberFormat="1" applyFont="1" applyFill="1" applyBorder="1" applyAlignment="1">
      <alignment horizontal="center"/>
    </xf>
    <xf numFmtId="0" fontId="52" fillId="9" borderId="4" xfId="0" applyFont="1" applyFill="1" applyBorder="1"/>
    <xf numFmtId="165" fontId="52" fillId="9" borderId="35" xfId="0" applyNumberFormat="1" applyFont="1" applyFill="1" applyBorder="1" applyAlignment="1">
      <alignment horizontal="center"/>
    </xf>
    <xf numFmtId="0" fontId="55" fillId="8" borderId="36" xfId="0" applyFont="1" applyFill="1" applyBorder="1"/>
    <xf numFmtId="0" fontId="51" fillId="8" borderId="22" xfId="0" applyFont="1" applyFill="1" applyBorder="1" applyAlignment="1">
      <alignment horizontal="right"/>
    </xf>
    <xf numFmtId="165" fontId="51" fillId="8" borderId="22" xfId="0" applyNumberFormat="1" applyFont="1" applyFill="1" applyBorder="1" applyAlignment="1">
      <alignment horizontal="center"/>
    </xf>
    <xf numFmtId="0" fontId="56" fillId="8" borderId="22" xfId="0" applyFont="1" applyFill="1" applyBorder="1" applyAlignment="1">
      <alignment horizontal="right"/>
    </xf>
    <xf numFmtId="0" fontId="51" fillId="8" borderId="22" xfId="0" applyFont="1" applyFill="1" applyBorder="1"/>
    <xf numFmtId="3" fontId="51" fillId="8" borderId="37" xfId="0" applyNumberFormat="1" applyFont="1" applyFill="1" applyBorder="1" applyAlignment="1">
      <alignment horizontal="center"/>
    </xf>
    <xf numFmtId="0" fontId="51" fillId="8" borderId="38" xfId="0" applyFont="1" applyFill="1" applyBorder="1" applyAlignment="1">
      <alignment horizontal="center"/>
    </xf>
    <xf numFmtId="0" fontId="51" fillId="8" borderId="16" xfId="0" applyFont="1" applyFill="1" applyBorder="1"/>
    <xf numFmtId="0" fontId="51" fillId="8" borderId="0" xfId="0" applyFont="1" applyFill="1" applyBorder="1" applyAlignment="1">
      <alignment horizontal="right"/>
    </xf>
    <xf numFmtId="165" fontId="51" fillId="8" borderId="0" xfId="0" applyNumberFormat="1" applyFont="1" applyFill="1" applyBorder="1" applyAlignment="1">
      <alignment horizontal="center"/>
    </xf>
    <xf numFmtId="9" fontId="51" fillId="8" borderId="0" xfId="1" applyFont="1" applyFill="1" applyBorder="1" applyAlignment="1">
      <alignment horizontal="center"/>
    </xf>
    <xf numFmtId="9" fontId="51" fillId="8" borderId="5" xfId="1" applyFont="1" applyFill="1" applyBorder="1" applyAlignment="1">
      <alignment horizontal="center"/>
    </xf>
    <xf numFmtId="0" fontId="51" fillId="8" borderId="34" xfId="0" applyFont="1" applyFill="1" applyBorder="1"/>
    <xf numFmtId="0" fontId="51" fillId="8" borderId="4" xfId="0" applyFont="1" applyFill="1" applyBorder="1"/>
    <xf numFmtId="165" fontId="51" fillId="8" borderId="35" xfId="0" applyNumberFormat="1" applyFont="1" applyFill="1" applyBorder="1" applyAlignment="1">
      <alignment horizontal="center"/>
    </xf>
    <xf numFmtId="22" fontId="3" fillId="0" borderId="0" xfId="0" applyNumberFormat="1" applyFont="1" applyFill="1" applyBorder="1" applyAlignment="1">
      <alignment horizontal="center"/>
    </xf>
    <xf numFmtId="0" fontId="57" fillId="0" borderId="0" xfId="0" applyFont="1"/>
    <xf numFmtId="165" fontId="0" fillId="0" borderId="0" xfId="0" applyNumberFormat="1"/>
    <xf numFmtId="165" fontId="0" fillId="0" borderId="25" xfId="0" applyNumberFormat="1" applyBorder="1"/>
    <xf numFmtId="0" fontId="13" fillId="0" borderId="0" xfId="0" applyFont="1" applyFill="1" applyBorder="1" applyAlignment="1">
      <alignment horizontal="right"/>
    </xf>
    <xf numFmtId="0" fontId="6" fillId="0" borderId="2" xfId="0" applyFont="1" applyFill="1" applyBorder="1" applyAlignment="1">
      <alignment horizontal="center"/>
    </xf>
    <xf numFmtId="165" fontId="0" fillId="0" borderId="0" xfId="0" applyNumberFormat="1" applyFill="1"/>
    <xf numFmtId="2" fontId="6" fillId="0" borderId="0" xfId="0" quotePrefix="1" applyNumberFormat="1" applyFont="1" applyFill="1" applyBorder="1" applyAlignment="1">
      <alignment horizontal="right"/>
    </xf>
    <xf numFmtId="9" fontId="27" fillId="0" borderId="0" xfId="1" applyFont="1" applyFill="1" applyBorder="1"/>
    <xf numFmtId="9" fontId="0" fillId="0" borderId="0" xfId="0" applyNumberFormat="1"/>
    <xf numFmtId="0" fontId="6" fillId="3" borderId="0" xfId="0" applyFont="1" applyFill="1"/>
    <xf numFmtId="0" fontId="2" fillId="0" borderId="37" xfId="0" applyFont="1" applyFill="1" applyBorder="1" applyAlignment="1">
      <alignment horizontal="center"/>
    </xf>
    <xf numFmtId="0" fontId="2" fillId="0" borderId="39" xfId="0" applyFont="1" applyFill="1" applyBorder="1" applyAlignment="1">
      <alignment horizontal="center"/>
    </xf>
    <xf numFmtId="37" fontId="21" fillId="0" borderId="0" xfId="0" applyNumberFormat="1" applyFont="1" applyFill="1" applyAlignment="1">
      <alignment horizontal="left"/>
    </xf>
    <xf numFmtId="37" fontId="21" fillId="0" borderId="0" xfId="0" quotePrefix="1" applyNumberFormat="1" applyFont="1" applyFill="1" applyAlignment="1">
      <alignment horizontal="left"/>
    </xf>
    <xf numFmtId="165" fontId="2" fillId="10" borderId="0" xfId="0" applyNumberFormat="1" applyFont="1" applyFill="1" applyBorder="1"/>
    <xf numFmtId="165" fontId="2" fillId="10" borderId="28" xfId="0" applyNumberFormat="1" applyFont="1" applyFill="1" applyBorder="1"/>
    <xf numFmtId="0" fontId="2" fillId="10" borderId="23" xfId="0" applyFont="1" applyFill="1" applyBorder="1"/>
    <xf numFmtId="0" fontId="2" fillId="10" borderId="0" xfId="0" applyFont="1" applyFill="1" applyBorder="1"/>
    <xf numFmtId="3" fontId="2" fillId="10" borderId="0" xfId="0" applyNumberFormat="1" applyFont="1" applyFill="1" applyBorder="1"/>
    <xf numFmtId="3" fontId="2" fillId="10" borderId="28" xfId="0" applyNumberFormat="1" applyFont="1" applyFill="1" applyBorder="1"/>
    <xf numFmtId="3" fontId="26" fillId="10" borderId="2" xfId="0" applyNumberFormat="1" applyFont="1" applyFill="1" applyBorder="1" applyAlignment="1">
      <alignment horizontal="right"/>
    </xf>
    <xf numFmtId="3" fontId="26" fillId="10" borderId="40" xfId="0" applyNumberFormat="1" applyFont="1" applyFill="1" applyBorder="1" applyAlignment="1">
      <alignment horizontal="right"/>
    </xf>
    <xf numFmtId="0" fontId="0" fillId="10" borderId="0" xfId="0" applyFill="1" applyBorder="1"/>
    <xf numFmtId="165" fontId="2" fillId="10" borderId="19" xfId="0" applyNumberFormat="1" applyFont="1" applyFill="1" applyBorder="1"/>
    <xf numFmtId="165" fontId="2" fillId="10" borderId="31" xfId="0" applyNumberFormat="1" applyFont="1" applyFill="1" applyBorder="1"/>
    <xf numFmtId="9" fontId="2" fillId="10" borderId="0" xfId="1" applyFont="1" applyFill="1" applyBorder="1" applyAlignment="1">
      <alignment horizontal="left"/>
    </xf>
    <xf numFmtId="165" fontId="2" fillId="10" borderId="3" xfId="0" applyNumberFormat="1" applyFont="1" applyFill="1" applyBorder="1"/>
    <xf numFmtId="165" fontId="2" fillId="10" borderId="29" xfId="0" applyNumberFormat="1" applyFont="1" applyFill="1" applyBorder="1"/>
    <xf numFmtId="165" fontId="7" fillId="10" borderId="0" xfId="0" applyNumberFormat="1" applyFont="1" applyFill="1" applyBorder="1"/>
    <xf numFmtId="165" fontId="2" fillId="10" borderId="25" xfId="0" applyNumberFormat="1" applyFont="1" applyFill="1" applyBorder="1"/>
    <xf numFmtId="165" fontId="2" fillId="10" borderId="41" xfId="0" applyNumberFormat="1" applyFont="1" applyFill="1" applyBorder="1"/>
    <xf numFmtId="0" fontId="7" fillId="10" borderId="23" xfId="0" applyFont="1" applyFill="1" applyBorder="1"/>
    <xf numFmtId="165" fontId="7" fillId="10" borderId="32" xfId="0" applyNumberFormat="1" applyFont="1" applyFill="1" applyBorder="1"/>
    <xf numFmtId="165" fontId="7" fillId="10" borderId="42" xfId="0" applyNumberFormat="1" applyFont="1" applyFill="1" applyBorder="1"/>
    <xf numFmtId="0" fontId="12" fillId="10" borderId="23" xfId="0" applyFont="1" applyFill="1" applyBorder="1" applyAlignment="1">
      <alignment horizontal="center" wrapText="1"/>
    </xf>
    <xf numFmtId="0" fontId="12" fillId="10" borderId="0" xfId="0" applyFont="1" applyFill="1" applyBorder="1" applyAlignment="1">
      <alignment horizontal="center" wrapText="1"/>
    </xf>
    <xf numFmtId="0" fontId="12" fillId="10" borderId="23" xfId="0" applyFont="1" applyFill="1" applyBorder="1"/>
    <xf numFmtId="9" fontId="12" fillId="10" borderId="0" xfId="1" applyFont="1" applyFill="1" applyBorder="1" applyAlignment="1">
      <alignment horizontal="center"/>
    </xf>
    <xf numFmtId="0" fontId="7" fillId="10" borderId="0" xfId="0" applyFont="1" applyFill="1" applyBorder="1" applyAlignment="1">
      <alignment horizontal="center" wrapText="1"/>
    </xf>
    <xf numFmtId="166" fontId="7" fillId="10" borderId="0" xfId="0" applyNumberFormat="1" applyFont="1" applyFill="1" applyBorder="1"/>
    <xf numFmtId="10" fontId="7" fillId="10" borderId="0" xfId="1" applyNumberFormat="1" applyFont="1" applyFill="1" applyBorder="1"/>
    <xf numFmtId="0" fontId="12" fillId="10" borderId="24" xfId="0" applyFont="1" applyFill="1" applyBorder="1" applyAlignment="1">
      <alignment horizontal="center" wrapText="1"/>
    </xf>
    <xf numFmtId="0" fontId="12" fillId="10" borderId="4" xfId="0" applyFont="1" applyFill="1" applyBorder="1" applyAlignment="1">
      <alignment horizontal="center" wrapText="1"/>
    </xf>
    <xf numFmtId="2" fontId="7" fillId="10" borderId="4" xfId="1" applyNumberFormat="1" applyFont="1" applyFill="1" applyBorder="1"/>
    <xf numFmtId="165" fontId="2" fillId="10" borderId="4" xfId="0" applyNumberFormat="1" applyFont="1" applyFill="1" applyBorder="1"/>
    <xf numFmtId="165" fontId="2" fillId="10" borderId="30" xfId="0" applyNumberFormat="1" applyFont="1" applyFill="1" applyBorder="1"/>
    <xf numFmtId="0" fontId="2" fillId="11" borderId="0" xfId="0" applyFont="1" applyFill="1" applyBorder="1"/>
    <xf numFmtId="165" fontId="2" fillId="11" borderId="22" xfId="0" applyNumberFormat="1" applyFont="1" applyFill="1" applyBorder="1"/>
    <xf numFmtId="165" fontId="2" fillId="11" borderId="27" xfId="0" applyNumberFormat="1" applyFont="1" applyFill="1" applyBorder="1"/>
    <xf numFmtId="0" fontId="2" fillId="11" borderId="23" xfId="0" applyFont="1" applyFill="1" applyBorder="1" applyAlignment="1">
      <alignment horizontal="left" indent="3"/>
    </xf>
    <xf numFmtId="0" fontId="0" fillId="11" borderId="0" xfId="0" applyFill="1" applyBorder="1"/>
    <xf numFmtId="165" fontId="2" fillId="11" borderId="0" xfId="0" applyNumberFormat="1" applyFont="1" applyFill="1" applyBorder="1"/>
    <xf numFmtId="165" fontId="2" fillId="11" borderId="28" xfId="0" applyNumberFormat="1" applyFont="1" applyFill="1" applyBorder="1"/>
    <xf numFmtId="3" fontId="2" fillId="11" borderId="2" xfId="0" applyNumberFormat="1" applyFont="1" applyFill="1" applyBorder="1"/>
    <xf numFmtId="0" fontId="2" fillId="11" borderId="23" xfId="0" applyFont="1" applyFill="1" applyBorder="1"/>
    <xf numFmtId="3" fontId="2" fillId="11" borderId="0" xfId="0" applyNumberFormat="1" applyFont="1" applyFill="1" applyBorder="1"/>
    <xf numFmtId="3" fontId="2" fillId="11" borderId="28" xfId="0" applyNumberFormat="1" applyFont="1" applyFill="1" applyBorder="1"/>
    <xf numFmtId="3" fontId="26" fillId="11" borderId="2" xfId="0" applyNumberFormat="1" applyFont="1" applyFill="1" applyBorder="1" applyAlignment="1">
      <alignment horizontal="right"/>
    </xf>
    <xf numFmtId="3" fontId="26" fillId="11" borderId="40" xfId="0" applyNumberFormat="1" applyFont="1" applyFill="1" applyBorder="1" applyAlignment="1">
      <alignment horizontal="right"/>
    </xf>
    <xf numFmtId="165" fontId="2" fillId="11" borderId="19" xfId="0" applyNumberFormat="1" applyFont="1" applyFill="1" applyBorder="1"/>
    <xf numFmtId="165" fontId="2" fillId="11" borderId="31" xfId="0" applyNumberFormat="1" applyFont="1" applyFill="1" applyBorder="1"/>
    <xf numFmtId="9" fontId="2" fillId="11" borderId="0" xfId="1" applyFont="1" applyFill="1" applyBorder="1" applyAlignment="1">
      <alignment horizontal="left"/>
    </xf>
    <xf numFmtId="165" fontId="2" fillId="11" borderId="3" xfId="0" applyNumberFormat="1" applyFont="1" applyFill="1" applyBorder="1"/>
    <xf numFmtId="165" fontId="2" fillId="11" borderId="29" xfId="0" applyNumberFormat="1" applyFont="1" applyFill="1" applyBorder="1"/>
    <xf numFmtId="165" fontId="2" fillId="11" borderId="25" xfId="0" applyNumberFormat="1" applyFont="1" applyFill="1" applyBorder="1"/>
    <xf numFmtId="165" fontId="2" fillId="11" borderId="41" xfId="0" applyNumberFormat="1" applyFont="1" applyFill="1" applyBorder="1"/>
    <xf numFmtId="0" fontId="12" fillId="12" borderId="26" xfId="0" applyFont="1" applyFill="1" applyBorder="1" applyAlignment="1">
      <alignment horizontal="left"/>
    </xf>
    <xf numFmtId="0" fontId="12" fillId="12" borderId="22" xfId="0" applyFont="1" applyFill="1" applyBorder="1" applyAlignment="1">
      <alignment horizontal="left"/>
    </xf>
    <xf numFmtId="0" fontId="12" fillId="12" borderId="22" xfId="0" applyFont="1" applyFill="1" applyBorder="1" applyAlignment="1">
      <alignment horizontal="center" wrapText="1"/>
    </xf>
    <xf numFmtId="165" fontId="7" fillId="12" borderId="22" xfId="0" applyNumberFormat="1" applyFont="1" applyFill="1" applyBorder="1"/>
    <xf numFmtId="165" fontId="2" fillId="12" borderId="22" xfId="0" applyNumberFormat="1" applyFont="1" applyFill="1" applyBorder="1"/>
    <xf numFmtId="165" fontId="2" fillId="12" borderId="27" xfId="0" applyNumberFormat="1" applyFont="1" applyFill="1" applyBorder="1"/>
    <xf numFmtId="0" fontId="0" fillId="12" borderId="23" xfId="0" applyFill="1" applyBorder="1"/>
    <xf numFmtId="0" fontId="2" fillId="12" borderId="0" xfId="0" applyFont="1" applyFill="1" applyBorder="1"/>
    <xf numFmtId="165" fontId="2" fillId="12" borderId="0" xfId="0" applyNumberFormat="1" applyFont="1" applyFill="1" applyBorder="1"/>
    <xf numFmtId="0" fontId="0" fillId="12" borderId="0" xfId="0" applyFill="1" applyBorder="1"/>
    <xf numFmtId="0" fontId="0" fillId="12" borderId="28" xfId="0" applyFill="1" applyBorder="1"/>
    <xf numFmtId="3" fontId="2" fillId="12" borderId="2" xfId="0" applyNumberFormat="1" applyFont="1" applyFill="1" applyBorder="1"/>
    <xf numFmtId="165" fontId="7" fillId="12" borderId="0" xfId="0" applyNumberFormat="1" applyFont="1" applyFill="1" applyBorder="1"/>
    <xf numFmtId="0" fontId="2" fillId="12" borderId="23" xfId="0" applyFont="1" applyFill="1" applyBorder="1"/>
    <xf numFmtId="165" fontId="2" fillId="12" borderId="28" xfId="0" applyNumberFormat="1" applyFont="1" applyFill="1" applyBorder="1"/>
    <xf numFmtId="3" fontId="7" fillId="12" borderId="0" xfId="0" applyNumberFormat="1" applyFont="1" applyFill="1" applyBorder="1"/>
    <xf numFmtId="3" fontId="7" fillId="12" borderId="28" xfId="0" applyNumberFormat="1" applyFont="1" applyFill="1" applyBorder="1"/>
    <xf numFmtId="3" fontId="2" fillId="12" borderId="0" xfId="0" applyNumberFormat="1" applyFont="1" applyFill="1" applyBorder="1"/>
    <xf numFmtId="3" fontId="2" fillId="12" borderId="28" xfId="0" applyNumberFormat="1" applyFont="1" applyFill="1" applyBorder="1"/>
    <xf numFmtId="165" fontId="7" fillId="12" borderId="25" xfId="0" applyNumberFormat="1" applyFont="1" applyFill="1" applyBorder="1"/>
    <xf numFmtId="165" fontId="7" fillId="12" borderId="41" xfId="0" applyNumberFormat="1" applyFont="1" applyFill="1" applyBorder="1"/>
    <xf numFmtId="0" fontId="2" fillId="10" borderId="23" xfId="0" applyFont="1" applyFill="1" applyBorder="1" applyAlignment="1">
      <alignment horizontal="center"/>
    </xf>
    <xf numFmtId="0" fontId="2" fillId="10" borderId="0" xfId="0" applyFont="1" applyFill="1" applyBorder="1" applyAlignment="1">
      <alignment horizontal="center"/>
    </xf>
    <xf numFmtId="0" fontId="2" fillId="10" borderId="2" xfId="0" applyFont="1" applyFill="1" applyBorder="1" applyAlignment="1">
      <alignment horizontal="center"/>
    </xf>
    <xf numFmtId="0" fontId="2" fillId="10" borderId="40" xfId="0" applyFont="1" applyFill="1" applyBorder="1" applyAlignment="1">
      <alignment horizontal="center"/>
    </xf>
    <xf numFmtId="0" fontId="40" fillId="10" borderId="26" xfId="0" applyFont="1" applyFill="1" applyBorder="1" applyAlignment="1">
      <alignment horizontal="left"/>
    </xf>
    <xf numFmtId="0" fontId="2" fillId="10" borderId="22" xfId="0" applyFont="1" applyFill="1" applyBorder="1" applyAlignment="1">
      <alignment horizontal="center"/>
    </xf>
    <xf numFmtId="0" fontId="49" fillId="10" borderId="27" xfId="0" applyFont="1" applyFill="1" applyBorder="1" applyAlignment="1">
      <alignment horizontal="center"/>
    </xf>
    <xf numFmtId="0" fontId="2" fillId="0" borderId="0" xfId="0" applyFont="1" applyFill="1" applyBorder="1" applyAlignment="1">
      <alignment vertical="center"/>
    </xf>
    <xf numFmtId="0" fontId="40" fillId="0" borderId="0" xfId="0" applyFont="1" applyFill="1" applyBorder="1"/>
    <xf numFmtId="0" fontId="12" fillId="0" borderId="0" xfId="0" applyFont="1" applyFill="1" applyAlignment="1">
      <alignment vertical="center"/>
    </xf>
    <xf numFmtId="0" fontId="24" fillId="0" borderId="0" xfId="0" applyFont="1" applyFill="1"/>
    <xf numFmtId="0" fontId="10" fillId="0" borderId="0" xfId="0" applyFont="1" applyFill="1"/>
    <xf numFmtId="0" fontId="15" fillId="0" borderId="0" xfId="0" applyFont="1" applyFill="1"/>
    <xf numFmtId="166" fontId="10" fillId="0" borderId="0" xfId="0" applyNumberFormat="1" applyFont="1" applyFill="1" applyBorder="1"/>
    <xf numFmtId="168" fontId="10" fillId="0" borderId="0" xfId="0" applyNumberFormat="1" applyFont="1" applyFill="1"/>
    <xf numFmtId="168" fontId="2" fillId="0" borderId="0" xfId="0" applyNumberFormat="1" applyFont="1" applyFill="1"/>
    <xf numFmtId="9" fontId="2" fillId="0" borderId="0" xfId="1" applyFont="1" applyFill="1" applyAlignment="1">
      <alignment horizontal="left"/>
    </xf>
    <xf numFmtId="0" fontId="2" fillId="0" borderId="0" xfId="0" applyFont="1" applyFill="1" applyAlignment="1">
      <alignment horizontal="left" vertical="center"/>
    </xf>
    <xf numFmtId="165" fontId="49" fillId="0" borderId="0" xfId="0" applyNumberFormat="1" applyFont="1" applyFill="1"/>
    <xf numFmtId="3" fontId="49" fillId="0" borderId="0" xfId="0" applyNumberFormat="1" applyFont="1" applyFill="1"/>
    <xf numFmtId="165" fontId="2" fillId="0" borderId="25" xfId="0" applyNumberFormat="1" applyFont="1" applyFill="1" applyBorder="1"/>
    <xf numFmtId="0" fontId="2" fillId="0" borderId="26" xfId="0" applyFont="1" applyFill="1" applyBorder="1"/>
    <xf numFmtId="0" fontId="17" fillId="0" borderId="22" xfId="0" applyFont="1" applyFill="1" applyBorder="1" applyAlignment="1">
      <alignment horizontal="right"/>
    </xf>
    <xf numFmtId="0" fontId="2" fillId="0" borderId="22" xfId="0" applyFont="1" applyFill="1" applyBorder="1" applyAlignment="1">
      <alignment horizontal="center"/>
    </xf>
    <xf numFmtId="165" fontId="2" fillId="0" borderId="0" xfId="0" applyNumberFormat="1" applyFont="1" applyFill="1" applyBorder="1" applyAlignment="1">
      <alignment horizontal="center"/>
    </xf>
    <xf numFmtId="9" fontId="2" fillId="0" borderId="0" xfId="1" applyFont="1" applyFill="1" applyBorder="1" applyAlignment="1">
      <alignment horizontal="center"/>
    </xf>
    <xf numFmtId="9" fontId="2" fillId="0" borderId="28" xfId="1" applyFont="1" applyFill="1" applyBorder="1" applyAlignment="1">
      <alignment horizontal="center"/>
    </xf>
    <xf numFmtId="0" fontId="2" fillId="0" borderId="4" xfId="0" applyFont="1" applyFill="1" applyBorder="1" applyAlignment="1">
      <alignment horizontal="right"/>
    </xf>
    <xf numFmtId="165" fontId="2" fillId="0" borderId="4" xfId="0" applyNumberFormat="1" applyFont="1" applyFill="1" applyBorder="1" applyAlignment="1">
      <alignment horizontal="center"/>
    </xf>
    <xf numFmtId="0" fontId="2" fillId="0" borderId="4" xfId="0" applyFont="1" applyFill="1" applyBorder="1"/>
    <xf numFmtId="165" fontId="2" fillId="0" borderId="35" xfId="0" applyNumberFormat="1" applyFont="1" applyFill="1" applyBorder="1" applyAlignment="1">
      <alignment horizontal="center"/>
    </xf>
    <xf numFmtId="165" fontId="2" fillId="0" borderId="43" xfId="0" applyNumberFormat="1" applyFont="1" applyFill="1" applyBorder="1" applyAlignment="1">
      <alignment horizontal="center"/>
    </xf>
    <xf numFmtId="37" fontId="6" fillId="0" borderId="0" xfId="0" quotePrefix="1" applyNumberFormat="1" applyFont="1" applyFill="1" applyAlignment="1">
      <alignment horizontal="left" vertical="center" wrapText="1"/>
    </xf>
    <xf numFmtId="0" fontId="4" fillId="3" borderId="0"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19" xfId="0" applyFont="1" applyFill="1" applyBorder="1" applyAlignment="1">
      <alignment horizontal="center"/>
    </xf>
    <xf numFmtId="0" fontId="2" fillId="0" borderId="1" xfId="0" applyFont="1" applyFill="1" applyBorder="1" applyAlignment="1">
      <alignment horizontal="center" vertical="center" wrapText="1"/>
    </xf>
    <xf numFmtId="0" fontId="14" fillId="0" borderId="8" xfId="0" applyFont="1" applyFill="1" applyBorder="1" applyAlignment="1">
      <alignment horizontal="right"/>
    </xf>
    <xf numFmtId="0" fontId="2" fillId="0" borderId="18" xfId="0" applyFont="1" applyFill="1" applyBorder="1" applyAlignment="1">
      <alignment horizontal="center" vertical="center" wrapText="1"/>
    </xf>
    <xf numFmtId="0" fontId="2" fillId="13" borderId="20" xfId="0" applyFont="1" applyFill="1" applyBorder="1"/>
    <xf numFmtId="0" fontId="0" fillId="13" borderId="3" xfId="0" applyFill="1" applyBorder="1"/>
    <xf numFmtId="0" fontId="2" fillId="13" borderId="3" xfId="0" applyFont="1" applyFill="1" applyBorder="1" applyAlignment="1">
      <alignment horizontal="right"/>
    </xf>
    <xf numFmtId="0" fontId="2" fillId="13" borderId="3" xfId="0" applyFont="1" applyFill="1" applyBorder="1"/>
    <xf numFmtId="0" fontId="2" fillId="13" borderId="15" xfId="0" applyFont="1" applyFill="1" applyBorder="1"/>
    <xf numFmtId="0" fontId="2" fillId="13" borderId="16" xfId="0" applyFont="1" applyFill="1" applyBorder="1"/>
    <xf numFmtId="0" fontId="2" fillId="13" borderId="0" xfId="0" applyFont="1" applyFill="1" applyBorder="1"/>
    <xf numFmtId="0" fontId="2" fillId="13" borderId="5" xfId="0" applyFont="1" applyFill="1" applyBorder="1"/>
    <xf numFmtId="0" fontId="2" fillId="13" borderId="21" xfId="0" applyFont="1" applyFill="1" applyBorder="1"/>
    <xf numFmtId="0" fontId="2" fillId="13" borderId="2" xfId="0" applyFont="1" applyFill="1" applyBorder="1"/>
    <xf numFmtId="0" fontId="2" fillId="13" borderId="17" xfId="0" applyFont="1" applyFill="1" applyBorder="1"/>
    <xf numFmtId="0" fontId="2" fillId="13" borderId="16" xfId="0" applyFont="1" applyFill="1" applyBorder="1" applyAlignment="1">
      <alignment horizontal="left"/>
    </xf>
    <xf numFmtId="0" fontId="0" fillId="13" borderId="0" xfId="0" applyFill="1" applyBorder="1"/>
    <xf numFmtId="0" fontId="40" fillId="3" borderId="20" xfId="0" applyFont="1" applyFill="1" applyBorder="1"/>
    <xf numFmtId="0" fontId="40" fillId="3" borderId="0" xfId="0" applyFont="1" applyFill="1"/>
    <xf numFmtId="37" fontId="6" fillId="0" borderId="0" xfId="0" applyNumberFormat="1" applyFont="1" applyFill="1" applyAlignment="1">
      <alignment vertical="center"/>
    </xf>
    <xf numFmtId="37" fontId="6" fillId="0" borderId="0" xfId="0" quotePrefix="1" applyNumberFormat="1" applyFont="1" applyFill="1" applyAlignment="1">
      <alignment vertical="center"/>
    </xf>
    <xf numFmtId="0" fontId="2" fillId="0" borderId="2" xfId="0" applyFont="1" applyBorder="1"/>
    <xf numFmtId="0" fontId="4" fillId="3" borderId="0" xfId="0" applyFont="1" applyFill="1" applyBorder="1" applyAlignment="1">
      <alignment vertical="top" wrapText="1"/>
    </xf>
    <xf numFmtId="37" fontId="7" fillId="0" borderId="0" xfId="0" applyNumberFormat="1" applyFont="1" applyFill="1" applyAlignment="1">
      <alignment vertical="center"/>
    </xf>
    <xf numFmtId="37" fontId="7" fillId="0" borderId="0" xfId="0" quotePrefix="1" applyNumberFormat="1" applyFont="1" applyFill="1" applyAlignment="1">
      <alignment vertical="center"/>
    </xf>
    <xf numFmtId="7" fontId="7" fillId="2" borderId="6" xfId="0" applyNumberFormat="1" applyFont="1" applyFill="1" applyBorder="1"/>
    <xf numFmtId="37" fontId="11" fillId="0" borderId="6" xfId="0" applyNumberFormat="1" applyFont="1" applyFill="1" applyBorder="1" applyAlignment="1">
      <alignment horizontal="center" wrapText="1"/>
    </xf>
    <xf numFmtId="7" fontId="7" fillId="0" borderId="7" xfId="0" applyNumberFormat="1" applyFont="1" applyFill="1" applyBorder="1"/>
    <xf numFmtId="7" fontId="7" fillId="0" borderId="8" xfId="0" applyNumberFormat="1" applyFont="1" applyFill="1" applyBorder="1"/>
    <xf numFmtId="7" fontId="7" fillId="0" borderId="9" xfId="0" applyNumberFormat="1" applyFont="1" applyFill="1" applyBorder="1"/>
    <xf numFmtId="4" fontId="7" fillId="2" borderId="7" xfId="0" applyNumberFormat="1" applyFont="1" applyFill="1" applyBorder="1"/>
    <xf numFmtId="4" fontId="7" fillId="2" borderId="6" xfId="0" applyNumberFormat="1" applyFont="1" applyFill="1" applyBorder="1"/>
    <xf numFmtId="4" fontId="7" fillId="2" borderId="9" xfId="0" applyNumberFormat="1" applyFont="1" applyFill="1" applyBorder="1"/>
    <xf numFmtId="0" fontId="0" fillId="12" borderId="24" xfId="0" applyFill="1" applyBorder="1"/>
    <xf numFmtId="0" fontId="0" fillId="12" borderId="4" xfId="0" applyFill="1" applyBorder="1"/>
    <xf numFmtId="0" fontId="0" fillId="12" borderId="30" xfId="0" applyFill="1" applyBorder="1"/>
    <xf numFmtId="0" fontId="11" fillId="5" borderId="18" xfId="0" applyFont="1" applyFill="1" applyBorder="1" applyAlignment="1">
      <alignment horizontal="right"/>
    </xf>
    <xf numFmtId="14" fontId="62" fillId="0" borderId="0" xfId="0" quotePrefix="1" applyNumberFormat="1" applyFont="1" applyFill="1" applyBorder="1" applyAlignment="1">
      <alignment horizontal="center"/>
    </xf>
    <xf numFmtId="0" fontId="63" fillId="0" borderId="0" xfId="0" applyFont="1"/>
    <xf numFmtId="9" fontId="49" fillId="0" borderId="0" xfId="1" applyFont="1"/>
    <xf numFmtId="3" fontId="49" fillId="0" borderId="0" xfId="0" applyNumberFormat="1" applyFont="1"/>
    <xf numFmtId="0" fontId="2" fillId="14" borderId="10" xfId="0" applyFont="1" applyFill="1" applyBorder="1"/>
    <xf numFmtId="8" fontId="2" fillId="14" borderId="11" xfId="0" applyNumberFormat="1" applyFont="1" applyFill="1" applyBorder="1"/>
    <xf numFmtId="0" fontId="2" fillId="0" borderId="0" xfId="0" applyFont="1" applyBorder="1"/>
    <xf numFmtId="3" fontId="2" fillId="0" borderId="0" xfId="0" applyNumberFormat="1" applyFont="1" applyBorder="1"/>
    <xf numFmtId="0" fontId="2" fillId="0" borderId="0" xfId="0" applyFont="1" applyAlignment="1">
      <alignment horizontal="left"/>
    </xf>
    <xf numFmtId="0" fontId="2" fillId="0" borderId="18" xfId="0" applyFont="1" applyFill="1" applyBorder="1"/>
    <xf numFmtId="8" fontId="2" fillId="0" borderId="1" xfId="0" applyNumberFormat="1" applyFont="1" applyFill="1" applyBorder="1"/>
    <xf numFmtId="3" fontId="2" fillId="0" borderId="2" xfId="0" applyNumberFormat="1" applyFont="1" applyBorder="1"/>
    <xf numFmtId="3" fontId="49" fillId="0" borderId="2" xfId="0" applyNumberFormat="1" applyFont="1" applyBorder="1"/>
    <xf numFmtId="0" fontId="66" fillId="0" borderId="0" xfId="0" applyFont="1" applyAlignment="1">
      <alignment horizontal="left" wrapText="1"/>
    </xf>
    <xf numFmtId="0" fontId="2" fillId="0" borderId="4" xfId="0" applyFont="1" applyBorder="1"/>
    <xf numFmtId="8" fontId="0" fillId="0" borderId="0" xfId="0" applyNumberFormat="1"/>
    <xf numFmtId="0" fontId="2" fillId="14" borderId="10" xfId="0" applyFont="1" applyFill="1" applyBorder="1" applyAlignment="1">
      <alignment horizontal="center"/>
    </xf>
    <xf numFmtId="8" fontId="2" fillId="14" borderId="44" xfId="0" applyNumberFormat="1" applyFont="1" applyFill="1" applyBorder="1"/>
    <xf numFmtId="0" fontId="0" fillId="14" borderId="44" xfId="0" applyFill="1" applyBorder="1"/>
    <xf numFmtId="37" fontId="2" fillId="15" borderId="0" xfId="0" applyNumberFormat="1" applyFont="1" applyFill="1" applyBorder="1"/>
    <xf numFmtId="0" fontId="0" fillId="15" borderId="0" xfId="0" applyFill="1"/>
    <xf numFmtId="0" fontId="0" fillId="15" borderId="5" xfId="0" applyFill="1" applyBorder="1"/>
    <xf numFmtId="37" fontId="35" fillId="5" borderId="16" xfId="0" applyNumberFormat="1" applyFont="1" applyFill="1" applyBorder="1" applyAlignment="1">
      <alignment horizontal="center" vertical="center"/>
    </xf>
    <xf numFmtId="37" fontId="35" fillId="5" borderId="16" xfId="0" quotePrefix="1" applyNumberFormat="1" applyFont="1" applyFill="1" applyBorder="1" applyAlignment="1">
      <alignment horizontal="center"/>
    </xf>
    <xf numFmtId="37" fontId="35" fillId="2" borderId="16" xfId="0" applyNumberFormat="1" applyFont="1" applyFill="1" applyBorder="1" applyAlignment="1">
      <alignment horizontal="left" vertical="center"/>
    </xf>
    <xf numFmtId="37" fontId="2" fillId="8" borderId="0" xfId="0" applyNumberFormat="1" applyFont="1" applyFill="1" applyBorder="1"/>
    <xf numFmtId="0" fontId="0" fillId="8" borderId="0" xfId="0" applyFill="1"/>
    <xf numFmtId="164" fontId="48" fillId="2" borderId="2" xfId="0" applyNumberFormat="1" applyFont="1" applyFill="1" applyBorder="1" applyAlignment="1">
      <alignment horizontal="left"/>
    </xf>
    <xf numFmtId="0" fontId="0" fillId="8" borderId="15" xfId="0" applyFill="1" applyBorder="1"/>
    <xf numFmtId="0" fontId="0" fillId="8" borderId="2" xfId="0" applyFill="1" applyBorder="1"/>
    <xf numFmtId="37" fontId="2" fillId="4" borderId="0" xfId="0" applyNumberFormat="1" applyFont="1" applyFill="1" applyBorder="1" applyAlignment="1">
      <alignment horizontal="right"/>
    </xf>
    <xf numFmtId="5" fontId="2" fillId="4" borderId="0" xfId="0" applyNumberFormat="1" applyFont="1" applyFill="1" applyBorder="1" applyAlignment="1">
      <alignment horizontal="right"/>
    </xf>
    <xf numFmtId="0" fontId="40" fillId="0" borderId="0" xfId="0" applyFont="1" applyAlignment="1">
      <alignment vertical="top"/>
    </xf>
    <xf numFmtId="14" fontId="64" fillId="0" borderId="0" xfId="0" quotePrefix="1" applyNumberFormat="1" applyFont="1" applyFill="1" applyBorder="1" applyAlignment="1">
      <alignment horizontal="center"/>
    </xf>
    <xf numFmtId="37" fontId="7" fillId="0" borderId="0" xfId="0" applyNumberFormat="1" applyFont="1" applyFill="1" applyAlignment="1">
      <alignment horizontal="left" vertical="center" wrapText="1"/>
    </xf>
    <xf numFmtId="37" fontId="7" fillId="0" borderId="0" xfId="0" quotePrefix="1" applyNumberFormat="1" applyFont="1" applyFill="1" applyAlignment="1">
      <alignment horizontal="left" vertical="center" wrapText="1"/>
    </xf>
    <xf numFmtId="0" fontId="2" fillId="0" borderId="16"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50" fillId="0" borderId="16" xfId="0" applyFont="1" applyFill="1" applyBorder="1" applyAlignment="1">
      <alignment horizontal="left" wrapText="1"/>
    </xf>
    <xf numFmtId="0" fontId="50" fillId="0" borderId="0" xfId="0" applyFont="1" applyFill="1" applyBorder="1" applyAlignment="1">
      <alignment horizontal="left" wrapText="1"/>
    </xf>
    <xf numFmtId="0" fontId="4" fillId="0" borderId="0" xfId="0" applyFont="1" applyAlignment="1">
      <alignment horizontal="left" wrapText="1"/>
    </xf>
    <xf numFmtId="2" fontId="51" fillId="8" borderId="10" xfId="0" applyNumberFormat="1" applyFont="1" applyFill="1" applyBorder="1" applyAlignment="1">
      <alignment horizontal="center"/>
    </xf>
    <xf numFmtId="2" fontId="51" fillId="8" borderId="11" xfId="0" applyNumberFormat="1" applyFont="1" applyFill="1" applyBorder="1" applyAlignment="1">
      <alignment horizontal="center"/>
    </xf>
    <xf numFmtId="0" fontId="2" fillId="0" borderId="16" xfId="0" applyFont="1" applyFill="1" applyBorder="1" applyAlignment="1">
      <alignment horizontal="left" wrapText="1"/>
    </xf>
    <xf numFmtId="0" fontId="2" fillId="0" borderId="0" xfId="0" applyFont="1" applyFill="1" applyBorder="1" applyAlignment="1">
      <alignment horizontal="left" wrapText="1"/>
    </xf>
    <xf numFmtId="0" fontId="2" fillId="0" borderId="10" xfId="0" applyFont="1" applyFill="1" applyBorder="1" applyAlignment="1">
      <alignment horizontal="center"/>
    </xf>
    <xf numFmtId="0" fontId="2" fillId="0" borderId="44" xfId="0" applyFont="1" applyFill="1" applyBorder="1" applyAlignment="1">
      <alignment horizontal="center"/>
    </xf>
    <xf numFmtId="0" fontId="2" fillId="0" borderId="11" xfId="0" applyFont="1" applyFill="1" applyBorder="1" applyAlignment="1">
      <alignment horizontal="center"/>
    </xf>
    <xf numFmtId="0" fontId="51" fillId="8" borderId="10" xfId="0" applyFont="1" applyFill="1" applyBorder="1" applyAlignment="1">
      <alignment horizontal="center"/>
    </xf>
    <xf numFmtId="0" fontId="51" fillId="8" borderId="11" xfId="0" applyFont="1" applyFill="1" applyBorder="1" applyAlignment="1">
      <alignment horizontal="center"/>
    </xf>
    <xf numFmtId="166" fontId="2" fillId="0" borderId="10" xfId="0" quotePrefix="1" applyNumberFormat="1" applyFont="1" applyFill="1" applyBorder="1" applyAlignment="1">
      <alignment horizontal="center"/>
    </xf>
    <xf numFmtId="166" fontId="2" fillId="0" borderId="44" xfId="0" quotePrefix="1" applyNumberFormat="1" applyFont="1" applyFill="1" applyBorder="1" applyAlignment="1">
      <alignment horizontal="center"/>
    </xf>
    <xf numFmtId="166" fontId="2" fillId="0" borderId="11" xfId="0" quotePrefix="1" applyNumberFormat="1" applyFont="1" applyFill="1" applyBorder="1" applyAlignment="1">
      <alignment horizontal="center"/>
    </xf>
    <xf numFmtId="166" fontId="51" fillId="8" borderId="10" xfId="0" applyNumberFormat="1" applyFont="1" applyFill="1" applyBorder="1" applyAlignment="1">
      <alignment horizontal="center"/>
    </xf>
    <xf numFmtId="166" fontId="51" fillId="8" borderId="11" xfId="0" applyNumberFormat="1" applyFont="1" applyFill="1" applyBorder="1" applyAlignment="1">
      <alignment horizontal="center"/>
    </xf>
    <xf numFmtId="169" fontId="2" fillId="0" borderId="10" xfId="0" quotePrefix="1" applyNumberFormat="1" applyFont="1" applyFill="1" applyBorder="1" applyAlignment="1">
      <alignment horizontal="center"/>
    </xf>
    <xf numFmtId="169" fontId="2" fillId="0" borderId="44" xfId="0" quotePrefix="1" applyNumberFormat="1" applyFont="1" applyFill="1" applyBorder="1" applyAlignment="1">
      <alignment horizontal="center"/>
    </xf>
    <xf numFmtId="169" fontId="51" fillId="8" borderId="10" xfId="0" applyNumberFormat="1" applyFont="1" applyFill="1" applyBorder="1" applyAlignment="1">
      <alignment horizontal="center"/>
    </xf>
    <xf numFmtId="169" fontId="51" fillId="8" borderId="11" xfId="0" applyNumberFormat="1" applyFont="1" applyFill="1" applyBorder="1" applyAlignment="1">
      <alignment horizontal="center"/>
    </xf>
    <xf numFmtId="169" fontId="2" fillId="0" borderId="11" xfId="0" quotePrefix="1" applyNumberFormat="1" applyFont="1" applyFill="1" applyBorder="1" applyAlignment="1">
      <alignment horizontal="center"/>
    </xf>
    <xf numFmtId="2" fontId="2" fillId="0" borderId="10" xfId="0" quotePrefix="1" applyNumberFormat="1" applyFont="1" applyFill="1" applyBorder="1" applyAlignment="1">
      <alignment horizontal="center"/>
    </xf>
    <xf numFmtId="2" fontId="2" fillId="0" borderId="44" xfId="0" quotePrefix="1" applyNumberFormat="1" applyFont="1" applyFill="1" applyBorder="1" applyAlignment="1">
      <alignment horizontal="center"/>
    </xf>
    <xf numFmtId="2" fontId="2" fillId="0" borderId="11" xfId="0" quotePrefix="1" applyNumberFormat="1" applyFont="1" applyFill="1" applyBorder="1" applyAlignment="1">
      <alignment horizontal="center"/>
    </xf>
    <xf numFmtId="37" fontId="6" fillId="0" borderId="0" xfId="0" applyNumberFormat="1" applyFont="1" applyFill="1" applyAlignment="1">
      <alignment horizontal="left" vertical="center" wrapText="1"/>
    </xf>
    <xf numFmtId="0" fontId="12" fillId="0" borderId="0" xfId="0" applyFont="1" applyAlignment="1">
      <alignment horizontal="left" wrapText="1"/>
    </xf>
    <xf numFmtId="0" fontId="0" fillId="0" borderId="0" xfId="0" applyFill="1" applyBorder="1"/>
    <xf numFmtId="22" fontId="3" fillId="0" borderId="0" xfId="0" applyNumberFormat="1" applyFont="1" applyFill="1" applyBorder="1" applyAlignment="1">
      <alignment horizontal="center"/>
    </xf>
    <xf numFmtId="37" fontId="6" fillId="0" borderId="0" xfId="0" quotePrefix="1" applyNumberFormat="1" applyFont="1" applyFill="1" applyAlignment="1">
      <alignment horizontal="left" vertical="center" wrapText="1"/>
    </xf>
    <xf numFmtId="37" fontId="19" fillId="0" borderId="0" xfId="0" quotePrefix="1" applyNumberFormat="1" applyFont="1" applyFill="1" applyAlignment="1">
      <alignment horizontal="center"/>
    </xf>
    <xf numFmtId="37" fontId="6" fillId="0" borderId="0" xfId="0" applyNumberFormat="1" applyFont="1" applyAlignment="1">
      <alignment vertical="center" wrapText="1"/>
    </xf>
    <xf numFmtId="0" fontId="0" fillId="0" borderId="0" xfId="0" applyAlignment="1">
      <alignment vertical="center" wrapText="1"/>
    </xf>
    <xf numFmtId="0" fontId="12" fillId="11" borderId="23" xfId="0" applyFont="1" applyFill="1" applyBorder="1" applyAlignment="1">
      <alignment horizontal="left" vertical="center" wrapText="1"/>
    </xf>
    <xf numFmtId="0" fontId="12" fillId="11" borderId="0" xfId="0" applyFont="1" applyFill="1" applyBorder="1" applyAlignment="1">
      <alignment horizontal="left" vertical="center" wrapText="1"/>
    </xf>
    <xf numFmtId="0" fontId="2" fillId="11" borderId="23" xfId="0" applyFont="1" applyFill="1" applyBorder="1" applyAlignment="1">
      <alignment horizontal="left" vertical="center" wrapText="1"/>
    </xf>
    <xf numFmtId="0" fontId="2" fillId="11" borderId="0" xfId="0" applyFont="1" applyFill="1" applyBorder="1" applyAlignment="1">
      <alignment horizontal="left" vertical="center" wrapText="1"/>
    </xf>
    <xf numFmtId="0" fontId="12" fillId="10" borderId="23" xfId="0" applyFont="1" applyFill="1" applyBorder="1" applyAlignment="1">
      <alignment horizontal="left" wrapText="1"/>
    </xf>
    <xf numFmtId="0" fontId="12" fillId="10" borderId="0" xfId="0" applyFont="1" applyFill="1" applyBorder="1" applyAlignment="1">
      <alignment horizontal="left" wrapText="1"/>
    </xf>
    <xf numFmtId="0" fontId="7" fillId="12" borderId="23" xfId="0" applyFont="1" applyFill="1" applyBorder="1" applyAlignment="1">
      <alignment horizontal="left" wrapText="1"/>
    </xf>
    <xf numFmtId="0" fontId="7" fillId="12" borderId="0" xfId="0" applyFont="1" applyFill="1" applyBorder="1" applyAlignment="1">
      <alignment horizontal="left" wrapText="1"/>
    </xf>
    <xf numFmtId="37" fontId="21" fillId="0" borderId="0" xfId="0" applyNumberFormat="1" applyFont="1" applyFill="1" applyAlignment="1"/>
    <xf numFmtId="37" fontId="21" fillId="0" borderId="0" xfId="0" quotePrefix="1" applyNumberFormat="1" applyFont="1" applyFill="1" applyAlignment="1"/>
    <xf numFmtId="37" fontId="58" fillId="0" borderId="0" xfId="0" applyNumberFormat="1" applyFont="1" applyFill="1" applyAlignment="1">
      <alignment horizontal="left" wrapText="1"/>
    </xf>
    <xf numFmtId="37" fontId="58" fillId="0" borderId="0" xfId="0" applyNumberFormat="1" applyFont="1" applyFill="1" applyAlignment="1">
      <alignment wrapText="1"/>
    </xf>
    <xf numFmtId="0" fontId="12" fillId="10" borderId="23" xfId="0" applyFont="1" applyFill="1" applyBorder="1" applyAlignment="1">
      <alignment horizontal="left" vertical="center" wrapText="1"/>
    </xf>
    <xf numFmtId="0" fontId="12" fillId="10" borderId="0" xfId="0" applyFont="1" applyFill="1" applyBorder="1" applyAlignment="1">
      <alignment horizontal="left" vertical="center" wrapText="1"/>
    </xf>
    <xf numFmtId="0" fontId="2" fillId="10" borderId="23" xfId="0" applyFont="1" applyFill="1" applyBorder="1" applyAlignment="1">
      <alignment horizontal="left" vertical="center" wrapText="1"/>
    </xf>
    <xf numFmtId="0" fontId="2" fillId="10" borderId="0" xfId="0" applyFont="1" applyFill="1" applyBorder="1" applyAlignment="1">
      <alignment horizontal="left" vertical="center" wrapText="1"/>
    </xf>
    <xf numFmtId="14" fontId="62" fillId="0" borderId="0" xfId="0" quotePrefix="1" applyNumberFormat="1" applyFont="1" applyFill="1" applyBorder="1" applyAlignment="1">
      <alignment horizontal="right" wrapText="1"/>
    </xf>
    <xf numFmtId="166" fontId="2" fillId="13" borderId="0" xfId="0" applyNumberFormat="1" applyFont="1" applyFill="1" applyBorder="1" applyAlignment="1">
      <alignment horizontal="center"/>
    </xf>
    <xf numFmtId="0" fontId="2" fillId="13" borderId="0" xfId="0" applyFont="1" applyFill="1" applyBorder="1" applyAlignment="1">
      <alignment horizontal="center"/>
    </xf>
    <xf numFmtId="2" fontId="2" fillId="13" borderId="3" xfId="0" applyNumberFormat="1" applyFont="1" applyFill="1" applyBorder="1" applyAlignment="1">
      <alignment horizontal="center"/>
    </xf>
    <xf numFmtId="0" fontId="2" fillId="0" borderId="0" xfId="0" applyFont="1" applyAlignment="1">
      <alignment horizontal="left" vertical="center" wrapText="1"/>
    </xf>
    <xf numFmtId="0" fontId="61" fillId="0" borderId="0" xfId="0" applyFont="1" applyAlignment="1">
      <alignment horizontal="left" vertical="center"/>
    </xf>
    <xf numFmtId="0" fontId="2" fillId="0" borderId="19" xfId="0" applyFont="1" applyFill="1" applyBorder="1" applyAlignment="1">
      <alignment horizontal="center" vertical="center" wrapText="1"/>
    </xf>
    <xf numFmtId="0" fontId="12" fillId="0"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Fill="1" applyAlignment="1">
      <alignment horizontal="left" wrapText="1"/>
    </xf>
    <xf numFmtId="0" fontId="4" fillId="3" borderId="1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2" fillId="13" borderId="0" xfId="0" quotePrefix="1" applyFont="1" applyFill="1" applyBorder="1" applyAlignment="1">
      <alignment horizontal="left" vertical="center"/>
    </xf>
    <xf numFmtId="0" fontId="2" fillId="13" borderId="0" xfId="0" applyFont="1" applyFill="1" applyBorder="1" applyAlignment="1">
      <alignment horizontal="left" vertical="center"/>
    </xf>
    <xf numFmtId="166" fontId="2" fillId="13" borderId="0" xfId="0" quotePrefix="1" applyNumberFormat="1" applyFont="1" applyFill="1" applyBorder="1" applyAlignment="1">
      <alignment horizontal="center"/>
    </xf>
    <xf numFmtId="0" fontId="2" fillId="13" borderId="0" xfId="0" quotePrefix="1" applyFont="1" applyFill="1" applyBorder="1" applyAlignment="1">
      <alignment horizontal="right" vertical="center"/>
    </xf>
    <xf numFmtId="0" fontId="2" fillId="13" borderId="0" xfId="0" applyFont="1" applyFill="1" applyBorder="1" applyAlignment="1">
      <alignment horizontal="right" vertical="center"/>
    </xf>
    <xf numFmtId="37" fontId="59" fillId="0" borderId="0" xfId="0" applyNumberFormat="1" applyFont="1" applyFill="1" applyAlignment="1">
      <alignment horizontal="left" vertical="center" wrapText="1"/>
    </xf>
    <xf numFmtId="37" fontId="59" fillId="0" borderId="0" xfId="0" quotePrefix="1" applyNumberFormat="1" applyFont="1" applyFill="1" applyAlignment="1">
      <alignment horizontal="left" vertical="center" wrapText="1"/>
    </xf>
    <xf numFmtId="0" fontId="59" fillId="0" borderId="0" xfId="0" applyFont="1" applyAlignment="1">
      <alignment horizontal="left" vertical="center" wrapText="1"/>
    </xf>
    <xf numFmtId="0" fontId="60" fillId="0" borderId="0" xfId="0" applyFont="1" applyAlignment="1">
      <alignment horizontal="left" vertical="center" wrapText="1"/>
    </xf>
    <xf numFmtId="0" fontId="27" fillId="0" borderId="18" xfId="0" applyFont="1" applyFill="1" applyBorder="1" applyAlignment="1">
      <alignment horizontal="center"/>
    </xf>
    <xf numFmtId="0" fontId="27" fillId="0" borderId="19" xfId="0" applyFont="1" applyFill="1" applyBorder="1" applyAlignment="1">
      <alignment horizontal="center"/>
    </xf>
    <xf numFmtId="0" fontId="27" fillId="0" borderId="1" xfId="0" applyFont="1" applyFill="1" applyBorder="1" applyAlignment="1">
      <alignment horizontal="center"/>
    </xf>
    <xf numFmtId="0" fontId="4" fillId="3" borderId="16" xfId="0" quotePrefix="1" applyFont="1" applyFill="1" applyBorder="1" applyAlignment="1">
      <alignment horizontal="left" vertical="center" wrapText="1"/>
    </xf>
    <xf numFmtId="0" fontId="32" fillId="9" borderId="18" xfId="0" applyFont="1" applyFill="1" applyBorder="1" applyAlignment="1">
      <alignment horizontal="left" vertical="center" wrapText="1"/>
    </xf>
    <xf numFmtId="0" fontId="31" fillId="9" borderId="19" xfId="0" applyFont="1" applyFill="1" applyBorder="1" applyAlignment="1">
      <alignment horizontal="left" vertical="center" wrapText="1"/>
    </xf>
    <xf numFmtId="0" fontId="31" fillId="9" borderId="1" xfId="0" applyFont="1" applyFill="1" applyBorder="1" applyAlignment="1">
      <alignment horizontal="left" vertical="center" wrapText="1"/>
    </xf>
    <xf numFmtId="0" fontId="2" fillId="4" borderId="4" xfId="0" applyFont="1" applyFill="1" applyBorder="1" applyAlignment="1">
      <alignment horizontal="center"/>
    </xf>
    <xf numFmtId="0" fontId="2" fillId="5" borderId="21" xfId="0" applyFont="1" applyFill="1" applyBorder="1" applyAlignment="1">
      <alignment vertical="center" wrapText="1"/>
    </xf>
    <xf numFmtId="0" fontId="2" fillId="5" borderId="2" xfId="0" applyFont="1" applyFill="1" applyBorder="1" applyAlignment="1">
      <alignment vertical="center" wrapText="1"/>
    </xf>
    <xf numFmtId="0" fontId="2" fillId="5" borderId="17" xfId="0" applyFont="1" applyFill="1" applyBorder="1" applyAlignment="1">
      <alignment vertical="center" wrapText="1"/>
    </xf>
    <xf numFmtId="0" fontId="2" fillId="4" borderId="16" xfId="0" applyFont="1" applyFill="1" applyBorder="1" applyAlignment="1">
      <alignment wrapText="1"/>
    </xf>
    <xf numFmtId="0" fontId="0" fillId="0" borderId="0" xfId="0" applyAlignment="1">
      <alignment wrapText="1"/>
    </xf>
    <xf numFmtId="0" fontId="0" fillId="0" borderId="5" xfId="0" applyBorder="1" applyAlignment="1">
      <alignment wrapText="1"/>
    </xf>
    <xf numFmtId="5" fontId="2" fillId="0" borderId="16" xfId="0" applyNumberFormat="1" applyFont="1" applyFill="1" applyBorder="1" applyAlignment="1">
      <alignment horizontal="left" wrapText="1"/>
    </xf>
    <xf numFmtId="0" fontId="0" fillId="0" borderId="0" xfId="0" applyAlignment="1">
      <alignment horizontal="left"/>
    </xf>
    <xf numFmtId="0" fontId="0" fillId="0" borderId="16" xfId="0" applyBorder="1" applyAlignment="1">
      <alignment horizontal="left"/>
    </xf>
    <xf numFmtId="0" fontId="2" fillId="0" borderId="16"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0" xfId="0" quotePrefix="1" applyFont="1" applyAlignment="1">
      <alignment horizontal="left" wrapText="1"/>
    </xf>
    <xf numFmtId="0" fontId="49" fillId="0" borderId="0" xfId="0" applyFont="1" applyAlignment="1">
      <alignment horizontal="left" wrapText="1"/>
    </xf>
    <xf numFmtId="5" fontId="16" fillId="2" borderId="0" xfId="0" applyNumberFormat="1" applyFont="1" applyFill="1" applyAlignment="1">
      <alignment horizontal="center" wrapText="1"/>
    </xf>
    <xf numFmtId="5" fontId="16" fillId="2" borderId="0" xfId="0" applyNumberFormat="1" applyFont="1" applyFill="1" applyAlignment="1">
      <alignment horizontal="center"/>
    </xf>
    <xf numFmtId="37" fontId="6" fillId="0" borderId="0" xfId="0" applyNumberFormat="1" applyFont="1" applyAlignment="1">
      <alignment horizontal="left" vertical="center" wrapText="1"/>
    </xf>
    <xf numFmtId="37" fontId="2" fillId="0" borderId="0" xfId="0" applyNumberFormat="1" applyFont="1" applyAlignment="1">
      <alignment horizontal="left" vertical="center" wrapText="1"/>
    </xf>
    <xf numFmtId="37" fontId="2" fillId="0" borderId="0" xfId="0" applyNumberFormat="1" applyFont="1" applyAlignment="1">
      <alignment horizontal="center" wrapText="1"/>
    </xf>
    <xf numFmtId="37" fontId="2" fillId="0" borderId="0" xfId="0" applyNumberFormat="1" applyFont="1" applyAlignment="1">
      <alignment horizontal="center"/>
    </xf>
  </cellXfs>
  <cellStyles count="2">
    <cellStyle name="Normal" xfId="0" builtinId="0"/>
    <cellStyle name="Percent" xfId="1" builtinId="5"/>
  </cellStyles>
  <dxfs count="0"/>
  <tableStyles count="0" defaultTableStyle="TableStyleMedium9" defaultPivotStyle="PivotStyleLight16"/>
  <colors>
    <mruColors>
      <color rgb="FFCCECFF"/>
      <color rgb="FFCCFFCC"/>
      <color rgb="FFCCFFFF"/>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575617178287499"/>
          <c:y val="0.11246957766642804"/>
          <c:w val="0.72473929246795765"/>
          <c:h val="0.75061214305583268"/>
        </c:manualLayout>
      </c:layout>
      <c:scatterChart>
        <c:scatterStyle val="smoothMarker"/>
        <c:varyColors val="0"/>
        <c:ser>
          <c:idx val="0"/>
          <c:order val="0"/>
          <c:spPr>
            <a:ln w="38100">
              <a:solidFill>
                <a:schemeClr val="tx2">
                  <a:lumMod val="60000"/>
                  <a:lumOff val="40000"/>
                </a:schemeClr>
              </a:solidFill>
              <a:prstDash val="solid"/>
            </a:ln>
          </c:spPr>
          <c:marker>
            <c:symbol val="none"/>
          </c:marker>
          <c:xVal>
            <c:numRef>
              <c:f>'Risk Analysis'!$B$89:$B$91</c:f>
              <c:numCache>
                <c:formatCode>0%</c:formatCode>
                <c:ptCount val="3"/>
                <c:pt idx="0">
                  <c:v>0.25</c:v>
                </c:pt>
                <c:pt idx="1">
                  <c:v>0</c:v>
                </c:pt>
                <c:pt idx="2">
                  <c:v>-0.25</c:v>
                </c:pt>
              </c:numCache>
            </c:numRef>
          </c:xVal>
          <c:yVal>
            <c:numRef>
              <c:f>'Risk Analysis'!$C$89:$C$91</c:f>
              <c:numCache>
                <c:formatCode>"$"#,##0.00</c:formatCode>
                <c:ptCount val="3"/>
                <c:pt idx="0">
                  <c:v>2526.8564305716795</c:v>
                </c:pt>
                <c:pt idx="1">
                  <c:v>78.819752749127474</c:v>
                </c:pt>
                <c:pt idx="2">
                  <c:v>-2369.216925073425</c:v>
                </c:pt>
              </c:numCache>
            </c:numRef>
          </c:yVal>
          <c:smooth val="1"/>
          <c:extLst>
            <c:ext xmlns:c16="http://schemas.microsoft.com/office/drawing/2014/chart" uri="{C3380CC4-5D6E-409C-BE32-E72D297353CC}">
              <c16:uniqueId val="{00000000-C7E0-4B44-8532-1485E1A76FBD}"/>
            </c:ext>
          </c:extLst>
        </c:ser>
        <c:ser>
          <c:idx val="2"/>
          <c:order val="1"/>
          <c:spPr>
            <a:ln w="38100">
              <a:solidFill>
                <a:srgbClr val="0000FF"/>
              </a:solidFill>
              <a:prstDash val="sysDash"/>
            </a:ln>
          </c:spPr>
          <c:marker>
            <c:symbol val="none"/>
          </c:marker>
          <c:xVal>
            <c:numRef>
              <c:f>'Risk Analysis'!$B$89:$B$91</c:f>
              <c:numCache>
                <c:formatCode>0%</c:formatCode>
                <c:ptCount val="3"/>
                <c:pt idx="0">
                  <c:v>0.25</c:v>
                </c:pt>
                <c:pt idx="1">
                  <c:v>0</c:v>
                </c:pt>
                <c:pt idx="2">
                  <c:v>-0.25</c:v>
                </c:pt>
              </c:numCache>
            </c:numRef>
          </c:xVal>
          <c:yVal>
            <c:numRef>
              <c:f>'Risk Analysis'!$D$89:$D$91</c:f>
              <c:numCache>
                <c:formatCode>"$"#,##0.00</c:formatCode>
                <c:ptCount val="3"/>
                <c:pt idx="0">
                  <c:v>-1245.667099241856</c:v>
                </c:pt>
                <c:pt idx="1">
                  <c:v>78.819752749127474</c:v>
                </c:pt>
                <c:pt idx="2">
                  <c:v>1403.3066047401121</c:v>
                </c:pt>
              </c:numCache>
            </c:numRef>
          </c:yVal>
          <c:smooth val="1"/>
          <c:extLst>
            <c:ext xmlns:c16="http://schemas.microsoft.com/office/drawing/2014/chart" uri="{C3380CC4-5D6E-409C-BE32-E72D297353CC}">
              <c16:uniqueId val="{00000001-C7E0-4B44-8532-1485E1A76FBD}"/>
            </c:ext>
          </c:extLst>
        </c:ser>
        <c:ser>
          <c:idx val="1"/>
          <c:order val="2"/>
          <c:spPr>
            <a:ln w="38100">
              <a:solidFill>
                <a:srgbClr val="800000"/>
              </a:solidFill>
              <a:prstDash val="sysDash"/>
            </a:ln>
          </c:spPr>
          <c:marker>
            <c:symbol val="none"/>
          </c:marker>
          <c:xVal>
            <c:numRef>
              <c:f>'Risk Analysis'!$B$89:$B$91</c:f>
              <c:numCache>
                <c:formatCode>0%</c:formatCode>
                <c:ptCount val="3"/>
                <c:pt idx="0">
                  <c:v>0.25</c:v>
                </c:pt>
                <c:pt idx="1">
                  <c:v>0</c:v>
                </c:pt>
                <c:pt idx="2">
                  <c:v>-0.25</c:v>
                </c:pt>
              </c:numCache>
            </c:numRef>
          </c:xVal>
          <c:yVal>
            <c:numRef>
              <c:f>'Risk Analysis'!$E$89:$E$91</c:f>
              <c:numCache>
                <c:formatCode>"$"#,##0.00</c:formatCode>
                <c:ptCount val="3"/>
                <c:pt idx="0">
                  <c:v>1202.3695785806963</c:v>
                </c:pt>
                <c:pt idx="1">
                  <c:v>78.819752749127474</c:v>
                </c:pt>
                <c:pt idx="2">
                  <c:v>-1044.7300730824406</c:v>
                </c:pt>
              </c:numCache>
            </c:numRef>
          </c:yVal>
          <c:smooth val="1"/>
          <c:extLst>
            <c:ext xmlns:c16="http://schemas.microsoft.com/office/drawing/2014/chart" uri="{C3380CC4-5D6E-409C-BE32-E72D297353CC}">
              <c16:uniqueId val="{00000002-C7E0-4B44-8532-1485E1A76FBD}"/>
            </c:ext>
          </c:extLst>
        </c:ser>
        <c:ser>
          <c:idx val="3"/>
          <c:order val="3"/>
          <c:spPr>
            <a:ln w="38100">
              <a:solidFill>
                <a:srgbClr val="800080"/>
              </a:solidFill>
              <a:prstDash val="solid"/>
            </a:ln>
          </c:spPr>
          <c:marker>
            <c:symbol val="none"/>
          </c:marker>
          <c:xVal>
            <c:numRef>
              <c:f>'Risk Analysis'!$B$89:$B$91</c:f>
              <c:numCache>
                <c:formatCode>0%</c:formatCode>
                <c:ptCount val="3"/>
                <c:pt idx="0">
                  <c:v>0.25</c:v>
                </c:pt>
                <c:pt idx="1">
                  <c:v>0</c:v>
                </c:pt>
                <c:pt idx="2">
                  <c:v>-0.25</c:v>
                </c:pt>
              </c:numCache>
            </c:numRef>
          </c:xVal>
          <c:yVal>
            <c:numRef>
              <c:f>'Risk Analysis'!$F$89:$F$91</c:f>
              <c:numCache>
                <c:formatCode>"$"#,##0.00</c:formatCode>
                <c:ptCount val="3"/>
                <c:pt idx="0">
                  <c:v>-872.13988115566019</c:v>
                </c:pt>
                <c:pt idx="1">
                  <c:v>78.819752749127474</c:v>
                </c:pt>
                <c:pt idx="2">
                  <c:v>1029.779386653915</c:v>
                </c:pt>
              </c:numCache>
            </c:numRef>
          </c:yVal>
          <c:smooth val="1"/>
          <c:extLst>
            <c:ext xmlns:c16="http://schemas.microsoft.com/office/drawing/2014/chart" uri="{C3380CC4-5D6E-409C-BE32-E72D297353CC}">
              <c16:uniqueId val="{00000003-C7E0-4B44-8532-1485E1A76FBD}"/>
            </c:ext>
          </c:extLst>
        </c:ser>
        <c:ser>
          <c:idx val="4"/>
          <c:order val="4"/>
          <c:spPr>
            <a:ln w="38100">
              <a:solidFill>
                <a:srgbClr val="339966"/>
              </a:solidFill>
              <a:prstDash val="sysDash"/>
            </a:ln>
          </c:spPr>
          <c:marker>
            <c:symbol val="none"/>
          </c:marker>
          <c:dPt>
            <c:idx val="2"/>
            <c:bubble3D val="0"/>
            <c:spPr>
              <a:ln w="38100">
                <a:solidFill>
                  <a:srgbClr val="357B46"/>
                </a:solidFill>
                <a:prstDash val="sysDash"/>
              </a:ln>
            </c:spPr>
            <c:extLst>
              <c:ext xmlns:c16="http://schemas.microsoft.com/office/drawing/2014/chart" uri="{C3380CC4-5D6E-409C-BE32-E72D297353CC}">
                <c16:uniqueId val="{00000005-C7E0-4B44-8532-1485E1A76FBD}"/>
              </c:ext>
            </c:extLst>
          </c:dPt>
          <c:xVal>
            <c:numRef>
              <c:f>'Risk Analysis'!$B$89:$B$91</c:f>
              <c:numCache>
                <c:formatCode>0%</c:formatCode>
                <c:ptCount val="3"/>
                <c:pt idx="0">
                  <c:v>0.25</c:v>
                </c:pt>
                <c:pt idx="1">
                  <c:v>0</c:v>
                </c:pt>
                <c:pt idx="2">
                  <c:v>-0.25</c:v>
                </c:pt>
              </c:numCache>
            </c:numRef>
          </c:xVal>
          <c:yVal>
            <c:numRef>
              <c:f>'Risk Analysis'!$G$89:$G$91</c:f>
              <c:numCache>
                <c:formatCode>"$"#,##0.00</c:formatCode>
                <c:ptCount val="3"/>
                <c:pt idx="0">
                  <c:v>-71.263438289735859</c:v>
                </c:pt>
                <c:pt idx="1">
                  <c:v>78.819752749127474</c:v>
                </c:pt>
                <c:pt idx="2">
                  <c:v>228.90294378799092</c:v>
                </c:pt>
              </c:numCache>
            </c:numRef>
          </c:yVal>
          <c:smooth val="1"/>
          <c:extLst>
            <c:ext xmlns:c16="http://schemas.microsoft.com/office/drawing/2014/chart" uri="{C3380CC4-5D6E-409C-BE32-E72D297353CC}">
              <c16:uniqueId val="{00000006-C7E0-4B44-8532-1485E1A76FBD}"/>
            </c:ext>
          </c:extLst>
        </c:ser>
        <c:ser>
          <c:idx val="5"/>
          <c:order val="5"/>
          <c:spPr>
            <a:ln w="38100">
              <a:solidFill>
                <a:srgbClr val="C00000"/>
              </a:solidFill>
              <a:prstDash val="sysDash"/>
            </a:ln>
          </c:spPr>
          <c:marker>
            <c:symbol val="none"/>
          </c:marker>
          <c:xVal>
            <c:numRef>
              <c:f>'Risk Analysis'!$B$89:$B$91</c:f>
              <c:numCache>
                <c:formatCode>0%</c:formatCode>
                <c:ptCount val="3"/>
                <c:pt idx="0">
                  <c:v>0.25</c:v>
                </c:pt>
                <c:pt idx="1">
                  <c:v>0</c:v>
                </c:pt>
                <c:pt idx="2">
                  <c:v>-0.25</c:v>
                </c:pt>
              </c:numCache>
            </c:numRef>
          </c:xVal>
          <c:yVal>
            <c:numRef>
              <c:f>'Risk Analysis'!$H$89:$H$91</c:f>
              <c:numCache>
                <c:formatCode>"$"#,##0.00</c:formatCode>
                <c:ptCount val="3"/>
                <c:pt idx="0">
                  <c:v>33.622923334855841</c:v>
                </c:pt>
                <c:pt idx="1">
                  <c:v>78.819752749127474</c:v>
                </c:pt>
                <c:pt idx="2">
                  <c:v>127.61754778941349</c:v>
                </c:pt>
              </c:numCache>
            </c:numRef>
          </c:yVal>
          <c:smooth val="1"/>
          <c:extLst>
            <c:ext xmlns:c16="http://schemas.microsoft.com/office/drawing/2014/chart" uri="{C3380CC4-5D6E-409C-BE32-E72D297353CC}">
              <c16:uniqueId val="{00000007-C7E0-4B44-8532-1485E1A76FBD}"/>
            </c:ext>
          </c:extLst>
        </c:ser>
        <c:dLbls>
          <c:showLegendKey val="0"/>
          <c:showVal val="0"/>
          <c:showCatName val="0"/>
          <c:showSerName val="0"/>
          <c:showPercent val="0"/>
          <c:showBubbleSize val="0"/>
        </c:dLbls>
        <c:axId val="232205320"/>
        <c:axId val="232205712"/>
      </c:scatterChart>
      <c:valAx>
        <c:axId val="232205320"/>
        <c:scaling>
          <c:orientation val="minMax"/>
          <c:max val="0.25"/>
          <c:min val="-0.25"/>
        </c:scaling>
        <c:delete val="0"/>
        <c:axPos val="b"/>
        <c:title>
          <c:tx>
            <c:rich>
              <a:bodyPr/>
              <a:lstStyle/>
              <a:p>
                <a:pPr>
                  <a:defRPr sz="900" b="1" i="0" u="none" strike="noStrike" baseline="0">
                    <a:solidFill>
                      <a:srgbClr val="000000"/>
                    </a:solidFill>
                    <a:latin typeface="Arial"/>
                    <a:ea typeface="Arial"/>
                    <a:cs typeface="Arial"/>
                  </a:defRPr>
                </a:pPr>
                <a:r>
                  <a:rPr lang="en-US"/>
                  <a:t>Percentage</a:t>
                </a:r>
                <a:r>
                  <a:rPr lang="en-US" baseline="0"/>
                  <a:t> </a:t>
                </a:r>
                <a:r>
                  <a:rPr lang="en-US"/>
                  <a:t> Deviation from Base</a:t>
                </a:r>
              </a:p>
            </c:rich>
          </c:tx>
          <c:layout>
            <c:manualLayout>
              <c:xMode val="edge"/>
              <c:yMode val="edge"/>
              <c:x val="0.60424498580869879"/>
              <c:y val="0.80767755515709061"/>
            </c:manualLayout>
          </c:layout>
          <c:overlay val="0"/>
          <c:spPr>
            <a:noFill/>
            <a:ln w="25400">
              <a:noFill/>
            </a:ln>
          </c:spPr>
        </c:title>
        <c:numFmt formatCode="0%" sourceLinked="1"/>
        <c:majorTickMark val="out"/>
        <c:minorTickMark val="none"/>
        <c:tickLblPos val="nextTo"/>
        <c:spPr>
          <a:ln w="25400">
            <a:solidFill>
              <a:srgbClr val="333333"/>
            </a:solidFill>
            <a:prstDash val="solid"/>
          </a:ln>
        </c:spPr>
        <c:txPr>
          <a:bodyPr rot="0" vert="horz"/>
          <a:lstStyle/>
          <a:p>
            <a:pPr>
              <a:defRPr sz="1000" b="1" i="0" u="none" strike="noStrike" baseline="0">
                <a:solidFill>
                  <a:srgbClr val="333333"/>
                </a:solidFill>
                <a:latin typeface="Arial"/>
                <a:ea typeface="Arial"/>
                <a:cs typeface="Arial"/>
              </a:defRPr>
            </a:pPr>
            <a:endParaRPr lang="en-US"/>
          </a:p>
        </c:txPr>
        <c:crossAx val="232205712"/>
        <c:crosses val="autoZero"/>
        <c:crossBetween val="midCat"/>
        <c:majorUnit val="0.25"/>
      </c:valAx>
      <c:valAx>
        <c:axId val="232205712"/>
        <c:scaling>
          <c:orientation val="minMax"/>
          <c:max val="2500"/>
          <c:min val="-2500"/>
        </c:scaling>
        <c:delete val="0"/>
        <c:axPos val="l"/>
        <c:majorGridlines>
          <c:spPr>
            <a:ln w="3175">
              <a:solidFill>
                <a:schemeClr val="bg1"/>
              </a:solidFill>
              <a:prstDash val="solid"/>
            </a:ln>
          </c:spPr>
        </c:majorGridlines>
        <c:title>
          <c:tx>
            <c:rich>
              <a:bodyPr rot="0" vert="horz"/>
              <a:lstStyle/>
              <a:p>
                <a:pPr>
                  <a:defRPr sz="900" b="1" i="0" u="none" strike="noStrike" baseline="0">
                    <a:solidFill>
                      <a:srgbClr val="000000"/>
                    </a:solidFill>
                    <a:latin typeface="Arial"/>
                    <a:ea typeface="Arial"/>
                    <a:cs typeface="Arial"/>
                  </a:defRPr>
                </a:pPr>
                <a:r>
                  <a:rPr lang="en-US"/>
                  <a:t>NPV</a:t>
                </a:r>
              </a:p>
            </c:rich>
          </c:tx>
          <c:layout>
            <c:manualLayout>
              <c:xMode val="edge"/>
              <c:yMode val="edge"/>
              <c:x val="0.50724713401435151"/>
              <c:y val="6.3882175619136713E-2"/>
            </c:manualLayout>
          </c:layout>
          <c:overlay val="0"/>
          <c:spPr>
            <a:noFill/>
            <a:ln w="25400">
              <a:noFill/>
            </a:ln>
          </c:spPr>
        </c:title>
        <c:numFmt formatCode="\$#,##0" sourceLinked="0"/>
        <c:majorTickMark val="out"/>
        <c:minorTickMark val="none"/>
        <c:tickLblPos val="nextTo"/>
        <c:spPr>
          <a:ln w="25400">
            <a:solidFill>
              <a:srgbClr val="333333"/>
            </a:solidFill>
            <a:prstDash val="solid"/>
          </a:ln>
        </c:spPr>
        <c:txPr>
          <a:bodyPr rot="0" vert="horz"/>
          <a:lstStyle/>
          <a:p>
            <a:pPr>
              <a:defRPr sz="1000" b="1" i="0" u="none" strike="noStrike" baseline="0">
                <a:solidFill>
                  <a:srgbClr val="333333"/>
                </a:solidFill>
                <a:latin typeface="Arial"/>
                <a:ea typeface="Arial"/>
                <a:cs typeface="Arial"/>
              </a:defRPr>
            </a:pPr>
            <a:endParaRPr lang="en-US"/>
          </a:p>
        </c:txPr>
        <c:crossAx val="232205320"/>
        <c:crosses val="autoZero"/>
        <c:crossBetween val="midCat"/>
        <c:majorUnit val="1000"/>
        <c:minorUnit val="1000"/>
      </c:valAx>
      <c:spPr>
        <a:noFill/>
        <a:ln w="25400">
          <a:noFill/>
        </a:ln>
      </c:spPr>
    </c:plotArea>
    <c:plotVisOnly val="1"/>
    <c:dispBlanksAs val="gap"/>
    <c:showDLblsOverMax val="0"/>
  </c:chart>
  <c:spPr>
    <a:solidFill>
      <a:srgbClr val="F3FECE"/>
    </a:solidFill>
    <a:ln w="3175">
      <a:solidFill>
        <a:srgbClr val="333333"/>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511" r="0.75000000000000511" t="1" header="0.5" footer="0.5"/>
    <c:pageSetup/>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285750</xdr:colOff>
      <xdr:row>63</xdr:row>
      <xdr:rowOff>0</xdr:rowOff>
    </xdr:from>
    <xdr:to>
      <xdr:col>1</xdr:col>
      <xdr:colOff>285750</xdr:colOff>
      <xdr:row>63</xdr:row>
      <xdr:rowOff>0</xdr:rowOff>
    </xdr:to>
    <xdr:sp macro="" textlink="">
      <xdr:nvSpPr>
        <xdr:cNvPr id="68272" name="Line 243">
          <a:extLst>
            <a:ext uri="{FF2B5EF4-FFF2-40B4-BE49-F238E27FC236}">
              <a16:creationId xmlns:a16="http://schemas.microsoft.com/office/drawing/2014/main" id="{00000000-0008-0000-0000-0000B00A0100}"/>
            </a:ext>
          </a:extLst>
        </xdr:cNvPr>
        <xdr:cNvSpPr>
          <a:spLocks noChangeShapeType="1"/>
        </xdr:cNvSpPr>
      </xdr:nvSpPr>
      <xdr:spPr bwMode="auto">
        <a:xfrm>
          <a:off x="933450" y="17773650"/>
          <a:ext cx="0" cy="0"/>
        </a:xfrm>
        <a:prstGeom prst="line">
          <a:avLst/>
        </a:prstGeom>
        <a:noFill/>
        <a:ln w="9525">
          <a:solidFill>
            <a:srgbClr val="800080"/>
          </a:solidFill>
          <a:round/>
          <a:headEnd/>
          <a:tailEnd/>
        </a:ln>
      </xdr:spPr>
    </xdr:sp>
    <xdr:clientData/>
  </xdr:twoCellAnchor>
  <xdr:twoCellAnchor>
    <xdr:from>
      <xdr:col>2</xdr:col>
      <xdr:colOff>371475</xdr:colOff>
      <xdr:row>63</xdr:row>
      <xdr:rowOff>0</xdr:rowOff>
    </xdr:from>
    <xdr:to>
      <xdr:col>2</xdr:col>
      <xdr:colOff>371475</xdr:colOff>
      <xdr:row>63</xdr:row>
      <xdr:rowOff>0</xdr:rowOff>
    </xdr:to>
    <xdr:sp macro="" textlink="">
      <xdr:nvSpPr>
        <xdr:cNvPr id="68273" name="Line 245">
          <a:extLst>
            <a:ext uri="{FF2B5EF4-FFF2-40B4-BE49-F238E27FC236}">
              <a16:creationId xmlns:a16="http://schemas.microsoft.com/office/drawing/2014/main" id="{00000000-0008-0000-0000-0000B10A0100}"/>
            </a:ext>
          </a:extLst>
        </xdr:cNvPr>
        <xdr:cNvSpPr>
          <a:spLocks noChangeShapeType="1"/>
        </xdr:cNvSpPr>
      </xdr:nvSpPr>
      <xdr:spPr bwMode="auto">
        <a:xfrm>
          <a:off x="1743075" y="17773650"/>
          <a:ext cx="0" cy="0"/>
        </a:xfrm>
        <a:prstGeom prst="line">
          <a:avLst/>
        </a:prstGeom>
        <a:noFill/>
        <a:ln w="9525">
          <a:solidFill>
            <a:srgbClr val="800080"/>
          </a:solidFill>
          <a:round/>
          <a:headEnd/>
          <a:tailEnd/>
        </a:ln>
      </xdr:spPr>
    </xdr:sp>
    <xdr:clientData/>
  </xdr:twoCellAnchor>
  <xdr:twoCellAnchor>
    <xdr:from>
      <xdr:col>3</xdr:col>
      <xdr:colOff>342900</xdr:colOff>
      <xdr:row>63</xdr:row>
      <xdr:rowOff>0</xdr:rowOff>
    </xdr:from>
    <xdr:to>
      <xdr:col>3</xdr:col>
      <xdr:colOff>342900</xdr:colOff>
      <xdr:row>63</xdr:row>
      <xdr:rowOff>0</xdr:rowOff>
    </xdr:to>
    <xdr:sp macro="" textlink="">
      <xdr:nvSpPr>
        <xdr:cNvPr id="68274" name="Line 246">
          <a:extLst>
            <a:ext uri="{FF2B5EF4-FFF2-40B4-BE49-F238E27FC236}">
              <a16:creationId xmlns:a16="http://schemas.microsoft.com/office/drawing/2014/main" id="{00000000-0008-0000-0000-0000B20A0100}"/>
            </a:ext>
          </a:extLst>
        </xdr:cNvPr>
        <xdr:cNvSpPr>
          <a:spLocks noChangeShapeType="1"/>
        </xdr:cNvSpPr>
      </xdr:nvSpPr>
      <xdr:spPr bwMode="auto">
        <a:xfrm>
          <a:off x="2476500" y="17773650"/>
          <a:ext cx="0" cy="0"/>
        </a:xfrm>
        <a:prstGeom prst="line">
          <a:avLst/>
        </a:prstGeom>
        <a:noFill/>
        <a:ln w="9525">
          <a:solidFill>
            <a:srgbClr val="800080"/>
          </a:solidFill>
          <a:round/>
          <a:headEnd/>
          <a:tailEnd/>
        </a:ln>
      </xdr:spPr>
    </xdr:sp>
    <xdr:clientData/>
  </xdr:twoCellAnchor>
  <xdr:twoCellAnchor>
    <xdr:from>
      <xdr:col>4</xdr:col>
      <xdr:colOff>352425</xdr:colOff>
      <xdr:row>63</xdr:row>
      <xdr:rowOff>0</xdr:rowOff>
    </xdr:from>
    <xdr:to>
      <xdr:col>4</xdr:col>
      <xdr:colOff>352425</xdr:colOff>
      <xdr:row>63</xdr:row>
      <xdr:rowOff>0</xdr:rowOff>
    </xdr:to>
    <xdr:sp macro="" textlink="">
      <xdr:nvSpPr>
        <xdr:cNvPr id="68275" name="Line 247">
          <a:extLst>
            <a:ext uri="{FF2B5EF4-FFF2-40B4-BE49-F238E27FC236}">
              <a16:creationId xmlns:a16="http://schemas.microsoft.com/office/drawing/2014/main" id="{00000000-0008-0000-0000-0000B30A0100}"/>
            </a:ext>
          </a:extLst>
        </xdr:cNvPr>
        <xdr:cNvSpPr>
          <a:spLocks noChangeShapeType="1"/>
        </xdr:cNvSpPr>
      </xdr:nvSpPr>
      <xdr:spPr bwMode="auto">
        <a:xfrm>
          <a:off x="3333750" y="17773650"/>
          <a:ext cx="0" cy="0"/>
        </a:xfrm>
        <a:prstGeom prst="line">
          <a:avLst/>
        </a:prstGeom>
        <a:noFill/>
        <a:ln w="9525">
          <a:solidFill>
            <a:srgbClr val="800080"/>
          </a:solidFill>
          <a:round/>
          <a:headEnd/>
          <a:tailEnd/>
        </a:ln>
      </xdr:spPr>
    </xdr:sp>
    <xdr:clientData/>
  </xdr:twoCellAnchor>
  <xdr:twoCellAnchor>
    <xdr:from>
      <xdr:col>5</xdr:col>
      <xdr:colOff>333375</xdr:colOff>
      <xdr:row>63</xdr:row>
      <xdr:rowOff>0</xdr:rowOff>
    </xdr:from>
    <xdr:to>
      <xdr:col>5</xdr:col>
      <xdr:colOff>333375</xdr:colOff>
      <xdr:row>63</xdr:row>
      <xdr:rowOff>0</xdr:rowOff>
    </xdr:to>
    <xdr:sp macro="" textlink="">
      <xdr:nvSpPr>
        <xdr:cNvPr id="68276" name="Line 248">
          <a:extLst>
            <a:ext uri="{FF2B5EF4-FFF2-40B4-BE49-F238E27FC236}">
              <a16:creationId xmlns:a16="http://schemas.microsoft.com/office/drawing/2014/main" id="{00000000-0008-0000-0000-0000B40A0100}"/>
            </a:ext>
          </a:extLst>
        </xdr:cNvPr>
        <xdr:cNvSpPr>
          <a:spLocks noChangeShapeType="1"/>
        </xdr:cNvSpPr>
      </xdr:nvSpPr>
      <xdr:spPr bwMode="auto">
        <a:xfrm>
          <a:off x="3962400" y="17773650"/>
          <a:ext cx="0" cy="0"/>
        </a:xfrm>
        <a:prstGeom prst="line">
          <a:avLst/>
        </a:prstGeom>
        <a:noFill/>
        <a:ln w="9525">
          <a:solidFill>
            <a:srgbClr val="800080"/>
          </a:solidFill>
          <a:round/>
          <a:headEnd/>
          <a:tailEnd/>
        </a:ln>
      </xdr:spPr>
    </xdr:sp>
    <xdr:clientData/>
  </xdr:twoCellAnchor>
  <xdr:twoCellAnchor>
    <xdr:from>
      <xdr:col>6</xdr:col>
      <xdr:colOff>371475</xdr:colOff>
      <xdr:row>63</xdr:row>
      <xdr:rowOff>0</xdr:rowOff>
    </xdr:from>
    <xdr:to>
      <xdr:col>6</xdr:col>
      <xdr:colOff>371475</xdr:colOff>
      <xdr:row>63</xdr:row>
      <xdr:rowOff>0</xdr:rowOff>
    </xdr:to>
    <xdr:sp macro="" textlink="">
      <xdr:nvSpPr>
        <xdr:cNvPr id="68277" name="Line 249">
          <a:extLst>
            <a:ext uri="{FF2B5EF4-FFF2-40B4-BE49-F238E27FC236}">
              <a16:creationId xmlns:a16="http://schemas.microsoft.com/office/drawing/2014/main" id="{00000000-0008-0000-0000-0000B50A0100}"/>
            </a:ext>
          </a:extLst>
        </xdr:cNvPr>
        <xdr:cNvSpPr>
          <a:spLocks noChangeShapeType="1"/>
        </xdr:cNvSpPr>
      </xdr:nvSpPr>
      <xdr:spPr bwMode="auto">
        <a:xfrm>
          <a:off x="4648200" y="17773650"/>
          <a:ext cx="0" cy="0"/>
        </a:xfrm>
        <a:prstGeom prst="line">
          <a:avLst/>
        </a:prstGeom>
        <a:noFill/>
        <a:ln w="9525">
          <a:solidFill>
            <a:srgbClr val="800080"/>
          </a:solidFill>
          <a:round/>
          <a:headEnd/>
          <a:tailEnd/>
        </a:ln>
      </xdr:spPr>
    </xdr:sp>
    <xdr:clientData/>
  </xdr:twoCellAnchor>
  <xdr:twoCellAnchor>
    <xdr:from>
      <xdr:col>3</xdr:col>
      <xdr:colOff>342900</xdr:colOff>
      <xdr:row>63</xdr:row>
      <xdr:rowOff>0</xdr:rowOff>
    </xdr:from>
    <xdr:to>
      <xdr:col>3</xdr:col>
      <xdr:colOff>342900</xdr:colOff>
      <xdr:row>63</xdr:row>
      <xdr:rowOff>0</xdr:rowOff>
    </xdr:to>
    <xdr:sp macro="" textlink="">
      <xdr:nvSpPr>
        <xdr:cNvPr id="68278" name="Line 253">
          <a:extLst>
            <a:ext uri="{FF2B5EF4-FFF2-40B4-BE49-F238E27FC236}">
              <a16:creationId xmlns:a16="http://schemas.microsoft.com/office/drawing/2014/main" id="{00000000-0008-0000-0000-0000B60A0100}"/>
            </a:ext>
          </a:extLst>
        </xdr:cNvPr>
        <xdr:cNvSpPr>
          <a:spLocks noChangeShapeType="1"/>
        </xdr:cNvSpPr>
      </xdr:nvSpPr>
      <xdr:spPr bwMode="auto">
        <a:xfrm>
          <a:off x="2476500" y="17773650"/>
          <a:ext cx="0" cy="0"/>
        </a:xfrm>
        <a:prstGeom prst="line">
          <a:avLst/>
        </a:prstGeom>
        <a:noFill/>
        <a:ln w="9525">
          <a:solidFill>
            <a:srgbClr val="008000"/>
          </a:solidFill>
          <a:round/>
          <a:headEnd/>
          <a:tailEnd/>
        </a:ln>
      </xdr:spPr>
    </xdr:sp>
    <xdr:clientData/>
  </xdr:twoCellAnchor>
  <xdr:twoCellAnchor>
    <xdr:from>
      <xdr:col>4</xdr:col>
      <xdr:colOff>342900</xdr:colOff>
      <xdr:row>63</xdr:row>
      <xdr:rowOff>0</xdr:rowOff>
    </xdr:from>
    <xdr:to>
      <xdr:col>4</xdr:col>
      <xdr:colOff>342900</xdr:colOff>
      <xdr:row>63</xdr:row>
      <xdr:rowOff>0</xdr:rowOff>
    </xdr:to>
    <xdr:sp macro="" textlink="">
      <xdr:nvSpPr>
        <xdr:cNvPr id="68279" name="Line 254">
          <a:extLst>
            <a:ext uri="{FF2B5EF4-FFF2-40B4-BE49-F238E27FC236}">
              <a16:creationId xmlns:a16="http://schemas.microsoft.com/office/drawing/2014/main" id="{00000000-0008-0000-0000-0000B70A0100}"/>
            </a:ext>
          </a:extLst>
        </xdr:cNvPr>
        <xdr:cNvSpPr>
          <a:spLocks noChangeShapeType="1"/>
        </xdr:cNvSpPr>
      </xdr:nvSpPr>
      <xdr:spPr bwMode="auto">
        <a:xfrm>
          <a:off x="3324225" y="17773650"/>
          <a:ext cx="0" cy="0"/>
        </a:xfrm>
        <a:prstGeom prst="line">
          <a:avLst/>
        </a:prstGeom>
        <a:noFill/>
        <a:ln w="9525">
          <a:solidFill>
            <a:srgbClr val="008000"/>
          </a:solidFill>
          <a:round/>
          <a:headEnd/>
          <a:tailEnd/>
        </a:ln>
      </xdr:spPr>
    </xdr:sp>
    <xdr:clientData/>
  </xdr:twoCellAnchor>
  <xdr:twoCellAnchor>
    <xdr:from>
      <xdr:col>5</xdr:col>
      <xdr:colOff>342900</xdr:colOff>
      <xdr:row>63</xdr:row>
      <xdr:rowOff>0</xdr:rowOff>
    </xdr:from>
    <xdr:to>
      <xdr:col>5</xdr:col>
      <xdr:colOff>342900</xdr:colOff>
      <xdr:row>63</xdr:row>
      <xdr:rowOff>0</xdr:rowOff>
    </xdr:to>
    <xdr:sp macro="" textlink="">
      <xdr:nvSpPr>
        <xdr:cNvPr id="68280" name="Line 255">
          <a:extLst>
            <a:ext uri="{FF2B5EF4-FFF2-40B4-BE49-F238E27FC236}">
              <a16:creationId xmlns:a16="http://schemas.microsoft.com/office/drawing/2014/main" id="{00000000-0008-0000-0000-0000B80A0100}"/>
            </a:ext>
          </a:extLst>
        </xdr:cNvPr>
        <xdr:cNvSpPr>
          <a:spLocks noChangeShapeType="1"/>
        </xdr:cNvSpPr>
      </xdr:nvSpPr>
      <xdr:spPr bwMode="auto">
        <a:xfrm>
          <a:off x="3971925" y="17773650"/>
          <a:ext cx="0" cy="0"/>
        </a:xfrm>
        <a:prstGeom prst="line">
          <a:avLst/>
        </a:prstGeom>
        <a:noFill/>
        <a:ln w="9525">
          <a:solidFill>
            <a:srgbClr val="008000"/>
          </a:solidFill>
          <a:round/>
          <a:headEnd/>
          <a:tailEnd/>
        </a:ln>
      </xdr:spPr>
    </xdr:sp>
    <xdr:clientData/>
  </xdr:twoCellAnchor>
  <xdr:twoCellAnchor>
    <xdr:from>
      <xdr:col>6</xdr:col>
      <xdr:colOff>381000</xdr:colOff>
      <xdr:row>63</xdr:row>
      <xdr:rowOff>0</xdr:rowOff>
    </xdr:from>
    <xdr:to>
      <xdr:col>6</xdr:col>
      <xdr:colOff>381000</xdr:colOff>
      <xdr:row>63</xdr:row>
      <xdr:rowOff>0</xdr:rowOff>
    </xdr:to>
    <xdr:sp macro="" textlink="">
      <xdr:nvSpPr>
        <xdr:cNvPr id="68281" name="Line 256">
          <a:extLst>
            <a:ext uri="{FF2B5EF4-FFF2-40B4-BE49-F238E27FC236}">
              <a16:creationId xmlns:a16="http://schemas.microsoft.com/office/drawing/2014/main" id="{00000000-0008-0000-0000-0000B90A0100}"/>
            </a:ext>
          </a:extLst>
        </xdr:cNvPr>
        <xdr:cNvSpPr>
          <a:spLocks noChangeShapeType="1"/>
        </xdr:cNvSpPr>
      </xdr:nvSpPr>
      <xdr:spPr bwMode="auto">
        <a:xfrm>
          <a:off x="4657725" y="17773650"/>
          <a:ext cx="0" cy="0"/>
        </a:xfrm>
        <a:prstGeom prst="line">
          <a:avLst/>
        </a:prstGeom>
        <a:noFill/>
        <a:ln w="9525">
          <a:solidFill>
            <a:srgbClr val="008000"/>
          </a:solidFill>
          <a:round/>
          <a:headEnd/>
          <a:tailEnd/>
        </a:ln>
      </xdr:spPr>
    </xdr:sp>
    <xdr:clientData/>
  </xdr:twoCellAnchor>
  <xdr:twoCellAnchor>
    <xdr:from>
      <xdr:col>0</xdr:col>
      <xdr:colOff>285750</xdr:colOff>
      <xdr:row>63</xdr:row>
      <xdr:rowOff>0</xdr:rowOff>
    </xdr:from>
    <xdr:to>
      <xdr:col>0</xdr:col>
      <xdr:colOff>285750</xdr:colOff>
      <xdr:row>63</xdr:row>
      <xdr:rowOff>0</xdr:rowOff>
    </xdr:to>
    <xdr:sp macro="" textlink="">
      <xdr:nvSpPr>
        <xdr:cNvPr id="68282" name="Line 257">
          <a:extLst>
            <a:ext uri="{FF2B5EF4-FFF2-40B4-BE49-F238E27FC236}">
              <a16:creationId xmlns:a16="http://schemas.microsoft.com/office/drawing/2014/main" id="{00000000-0008-0000-0000-0000BA0A0100}"/>
            </a:ext>
          </a:extLst>
        </xdr:cNvPr>
        <xdr:cNvSpPr>
          <a:spLocks noChangeShapeType="1"/>
        </xdr:cNvSpPr>
      </xdr:nvSpPr>
      <xdr:spPr bwMode="auto">
        <a:xfrm flipH="1">
          <a:off x="285750" y="17773650"/>
          <a:ext cx="0" cy="0"/>
        </a:xfrm>
        <a:prstGeom prst="line">
          <a:avLst/>
        </a:prstGeom>
        <a:noFill/>
        <a:ln w="9525">
          <a:solidFill>
            <a:srgbClr val="000000"/>
          </a:solidFill>
          <a:round/>
          <a:headEnd/>
          <a:tailEnd/>
        </a:ln>
      </xdr:spPr>
    </xdr:sp>
    <xdr:clientData/>
  </xdr:twoCellAnchor>
  <xdr:twoCellAnchor>
    <xdr:from>
      <xdr:col>0</xdr:col>
      <xdr:colOff>285750</xdr:colOff>
      <xdr:row>63</xdr:row>
      <xdr:rowOff>0</xdr:rowOff>
    </xdr:from>
    <xdr:to>
      <xdr:col>0</xdr:col>
      <xdr:colOff>285750</xdr:colOff>
      <xdr:row>63</xdr:row>
      <xdr:rowOff>0</xdr:rowOff>
    </xdr:to>
    <xdr:sp macro="" textlink="">
      <xdr:nvSpPr>
        <xdr:cNvPr id="68283" name="Line 258">
          <a:extLst>
            <a:ext uri="{FF2B5EF4-FFF2-40B4-BE49-F238E27FC236}">
              <a16:creationId xmlns:a16="http://schemas.microsoft.com/office/drawing/2014/main" id="{00000000-0008-0000-0000-0000BB0A0100}"/>
            </a:ext>
          </a:extLst>
        </xdr:cNvPr>
        <xdr:cNvSpPr>
          <a:spLocks noChangeShapeType="1"/>
        </xdr:cNvSpPr>
      </xdr:nvSpPr>
      <xdr:spPr bwMode="auto">
        <a:xfrm>
          <a:off x="285750" y="17773650"/>
          <a:ext cx="0" cy="0"/>
        </a:xfrm>
        <a:prstGeom prst="line">
          <a:avLst/>
        </a:prstGeom>
        <a:noFill/>
        <a:ln w="9525">
          <a:solidFill>
            <a:srgbClr val="FF00FF"/>
          </a:solidFill>
          <a:round/>
          <a:headEnd/>
          <a:tailEnd/>
        </a:ln>
      </xdr:spPr>
    </xdr:sp>
    <xdr:clientData/>
  </xdr:twoCellAnchor>
  <xdr:twoCellAnchor>
    <xdr:from>
      <xdr:col>1</xdr:col>
      <xdr:colOff>285750</xdr:colOff>
      <xdr:row>63</xdr:row>
      <xdr:rowOff>0</xdr:rowOff>
    </xdr:from>
    <xdr:to>
      <xdr:col>1</xdr:col>
      <xdr:colOff>285750</xdr:colOff>
      <xdr:row>63</xdr:row>
      <xdr:rowOff>0</xdr:rowOff>
    </xdr:to>
    <xdr:sp macro="" textlink="">
      <xdr:nvSpPr>
        <xdr:cNvPr id="68284" name="Line 259">
          <a:extLst>
            <a:ext uri="{FF2B5EF4-FFF2-40B4-BE49-F238E27FC236}">
              <a16:creationId xmlns:a16="http://schemas.microsoft.com/office/drawing/2014/main" id="{00000000-0008-0000-0000-0000BC0A0100}"/>
            </a:ext>
          </a:extLst>
        </xdr:cNvPr>
        <xdr:cNvSpPr>
          <a:spLocks noChangeShapeType="1"/>
        </xdr:cNvSpPr>
      </xdr:nvSpPr>
      <xdr:spPr bwMode="auto">
        <a:xfrm flipH="1">
          <a:off x="933450" y="17773650"/>
          <a:ext cx="0" cy="0"/>
        </a:xfrm>
        <a:prstGeom prst="line">
          <a:avLst/>
        </a:prstGeom>
        <a:noFill/>
        <a:ln w="9525">
          <a:solidFill>
            <a:srgbClr val="000000"/>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285" name="Line 260">
          <a:extLst>
            <a:ext uri="{FF2B5EF4-FFF2-40B4-BE49-F238E27FC236}">
              <a16:creationId xmlns:a16="http://schemas.microsoft.com/office/drawing/2014/main" id="{00000000-0008-0000-0000-0000BD0A0100}"/>
            </a:ext>
          </a:extLst>
        </xdr:cNvPr>
        <xdr:cNvSpPr>
          <a:spLocks noChangeShapeType="1"/>
        </xdr:cNvSpPr>
      </xdr:nvSpPr>
      <xdr:spPr bwMode="auto">
        <a:xfrm flipH="1">
          <a:off x="1657350" y="17773650"/>
          <a:ext cx="0" cy="0"/>
        </a:xfrm>
        <a:prstGeom prst="line">
          <a:avLst/>
        </a:prstGeom>
        <a:noFill/>
        <a:ln w="9525">
          <a:solidFill>
            <a:srgbClr val="000000"/>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286" name="Line 261">
          <a:extLst>
            <a:ext uri="{FF2B5EF4-FFF2-40B4-BE49-F238E27FC236}">
              <a16:creationId xmlns:a16="http://schemas.microsoft.com/office/drawing/2014/main" id="{00000000-0008-0000-0000-0000BE0A0100}"/>
            </a:ext>
          </a:extLst>
        </xdr:cNvPr>
        <xdr:cNvSpPr>
          <a:spLocks noChangeShapeType="1"/>
        </xdr:cNvSpPr>
      </xdr:nvSpPr>
      <xdr:spPr bwMode="auto">
        <a:xfrm flipH="1">
          <a:off x="2419350" y="17773650"/>
          <a:ext cx="0" cy="0"/>
        </a:xfrm>
        <a:prstGeom prst="line">
          <a:avLst/>
        </a:prstGeom>
        <a:noFill/>
        <a:ln w="9525">
          <a:solidFill>
            <a:srgbClr val="000000"/>
          </a:solidFill>
          <a:round/>
          <a:headEnd/>
          <a:tailEnd/>
        </a:ln>
      </xdr:spPr>
    </xdr:sp>
    <xdr:clientData/>
  </xdr:twoCellAnchor>
  <xdr:twoCellAnchor>
    <xdr:from>
      <xdr:col>4</xdr:col>
      <xdr:colOff>285750</xdr:colOff>
      <xdr:row>63</xdr:row>
      <xdr:rowOff>0</xdr:rowOff>
    </xdr:from>
    <xdr:to>
      <xdr:col>4</xdr:col>
      <xdr:colOff>285750</xdr:colOff>
      <xdr:row>63</xdr:row>
      <xdr:rowOff>0</xdr:rowOff>
    </xdr:to>
    <xdr:sp macro="" textlink="">
      <xdr:nvSpPr>
        <xdr:cNvPr id="68287" name="Line 262">
          <a:extLst>
            <a:ext uri="{FF2B5EF4-FFF2-40B4-BE49-F238E27FC236}">
              <a16:creationId xmlns:a16="http://schemas.microsoft.com/office/drawing/2014/main" id="{00000000-0008-0000-0000-0000BF0A0100}"/>
            </a:ext>
          </a:extLst>
        </xdr:cNvPr>
        <xdr:cNvSpPr>
          <a:spLocks noChangeShapeType="1"/>
        </xdr:cNvSpPr>
      </xdr:nvSpPr>
      <xdr:spPr bwMode="auto">
        <a:xfrm flipH="1">
          <a:off x="3267075" y="17773650"/>
          <a:ext cx="0" cy="0"/>
        </a:xfrm>
        <a:prstGeom prst="line">
          <a:avLst/>
        </a:prstGeom>
        <a:noFill/>
        <a:ln w="9525">
          <a:solidFill>
            <a:srgbClr val="000000"/>
          </a:solidFill>
          <a:round/>
          <a:headEnd/>
          <a:tailEnd/>
        </a:ln>
      </xdr:spPr>
    </xdr:sp>
    <xdr:clientData/>
  </xdr:twoCellAnchor>
  <xdr:twoCellAnchor>
    <xdr:from>
      <xdr:col>1</xdr:col>
      <xdr:colOff>285750</xdr:colOff>
      <xdr:row>63</xdr:row>
      <xdr:rowOff>0</xdr:rowOff>
    </xdr:from>
    <xdr:to>
      <xdr:col>1</xdr:col>
      <xdr:colOff>285750</xdr:colOff>
      <xdr:row>63</xdr:row>
      <xdr:rowOff>0</xdr:rowOff>
    </xdr:to>
    <xdr:sp macro="" textlink="">
      <xdr:nvSpPr>
        <xdr:cNvPr id="68288" name="Line 263">
          <a:extLst>
            <a:ext uri="{FF2B5EF4-FFF2-40B4-BE49-F238E27FC236}">
              <a16:creationId xmlns:a16="http://schemas.microsoft.com/office/drawing/2014/main" id="{00000000-0008-0000-0000-0000C00A0100}"/>
            </a:ext>
          </a:extLst>
        </xdr:cNvPr>
        <xdr:cNvSpPr>
          <a:spLocks noChangeShapeType="1"/>
        </xdr:cNvSpPr>
      </xdr:nvSpPr>
      <xdr:spPr bwMode="auto">
        <a:xfrm>
          <a:off x="933450" y="17773650"/>
          <a:ext cx="0" cy="0"/>
        </a:xfrm>
        <a:prstGeom prst="line">
          <a:avLst/>
        </a:prstGeom>
        <a:noFill/>
        <a:ln w="9525">
          <a:solidFill>
            <a:srgbClr val="FF00FF"/>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289" name="Line 264">
          <a:extLst>
            <a:ext uri="{FF2B5EF4-FFF2-40B4-BE49-F238E27FC236}">
              <a16:creationId xmlns:a16="http://schemas.microsoft.com/office/drawing/2014/main" id="{00000000-0008-0000-0000-0000C10A0100}"/>
            </a:ext>
          </a:extLst>
        </xdr:cNvPr>
        <xdr:cNvSpPr>
          <a:spLocks noChangeShapeType="1"/>
        </xdr:cNvSpPr>
      </xdr:nvSpPr>
      <xdr:spPr bwMode="auto">
        <a:xfrm>
          <a:off x="1657350" y="17773650"/>
          <a:ext cx="0" cy="0"/>
        </a:xfrm>
        <a:prstGeom prst="line">
          <a:avLst/>
        </a:prstGeom>
        <a:noFill/>
        <a:ln w="9525">
          <a:solidFill>
            <a:srgbClr val="FF00FF"/>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290" name="Line 265">
          <a:extLst>
            <a:ext uri="{FF2B5EF4-FFF2-40B4-BE49-F238E27FC236}">
              <a16:creationId xmlns:a16="http://schemas.microsoft.com/office/drawing/2014/main" id="{00000000-0008-0000-0000-0000C20A0100}"/>
            </a:ext>
          </a:extLst>
        </xdr:cNvPr>
        <xdr:cNvSpPr>
          <a:spLocks noChangeShapeType="1"/>
        </xdr:cNvSpPr>
      </xdr:nvSpPr>
      <xdr:spPr bwMode="auto">
        <a:xfrm>
          <a:off x="2419350" y="17773650"/>
          <a:ext cx="0" cy="0"/>
        </a:xfrm>
        <a:prstGeom prst="line">
          <a:avLst/>
        </a:prstGeom>
        <a:noFill/>
        <a:ln w="9525">
          <a:solidFill>
            <a:srgbClr val="FF00FF"/>
          </a:solidFill>
          <a:round/>
          <a:headEnd/>
          <a:tailEnd/>
        </a:ln>
      </xdr:spPr>
    </xdr:sp>
    <xdr:clientData/>
  </xdr:twoCellAnchor>
  <xdr:twoCellAnchor>
    <xdr:from>
      <xdr:col>1</xdr:col>
      <xdr:colOff>285750</xdr:colOff>
      <xdr:row>63</xdr:row>
      <xdr:rowOff>0</xdr:rowOff>
    </xdr:from>
    <xdr:to>
      <xdr:col>1</xdr:col>
      <xdr:colOff>285750</xdr:colOff>
      <xdr:row>63</xdr:row>
      <xdr:rowOff>0</xdr:rowOff>
    </xdr:to>
    <xdr:sp macro="" textlink="">
      <xdr:nvSpPr>
        <xdr:cNvPr id="68291" name="Line 266">
          <a:extLst>
            <a:ext uri="{FF2B5EF4-FFF2-40B4-BE49-F238E27FC236}">
              <a16:creationId xmlns:a16="http://schemas.microsoft.com/office/drawing/2014/main" id="{00000000-0008-0000-0000-0000C30A0100}"/>
            </a:ext>
          </a:extLst>
        </xdr:cNvPr>
        <xdr:cNvSpPr>
          <a:spLocks noChangeShapeType="1"/>
        </xdr:cNvSpPr>
      </xdr:nvSpPr>
      <xdr:spPr bwMode="auto">
        <a:xfrm>
          <a:off x="933450" y="17773650"/>
          <a:ext cx="0" cy="0"/>
        </a:xfrm>
        <a:prstGeom prst="line">
          <a:avLst/>
        </a:prstGeom>
        <a:noFill/>
        <a:ln w="9525">
          <a:solidFill>
            <a:srgbClr val="800080"/>
          </a:solidFill>
          <a:round/>
          <a:headEnd/>
          <a:tailEnd/>
        </a:ln>
      </xdr:spPr>
    </xdr:sp>
    <xdr:clientData/>
  </xdr:twoCellAnchor>
  <xdr:twoCellAnchor>
    <xdr:from>
      <xdr:col>0</xdr:col>
      <xdr:colOff>285750</xdr:colOff>
      <xdr:row>63</xdr:row>
      <xdr:rowOff>0</xdr:rowOff>
    </xdr:from>
    <xdr:to>
      <xdr:col>0</xdr:col>
      <xdr:colOff>285750</xdr:colOff>
      <xdr:row>63</xdr:row>
      <xdr:rowOff>0</xdr:rowOff>
    </xdr:to>
    <xdr:sp macro="" textlink="">
      <xdr:nvSpPr>
        <xdr:cNvPr id="68292" name="Line 268">
          <a:extLst>
            <a:ext uri="{FF2B5EF4-FFF2-40B4-BE49-F238E27FC236}">
              <a16:creationId xmlns:a16="http://schemas.microsoft.com/office/drawing/2014/main" id="{00000000-0008-0000-0000-0000C40A0100}"/>
            </a:ext>
          </a:extLst>
        </xdr:cNvPr>
        <xdr:cNvSpPr>
          <a:spLocks noChangeShapeType="1"/>
        </xdr:cNvSpPr>
      </xdr:nvSpPr>
      <xdr:spPr bwMode="auto">
        <a:xfrm>
          <a:off x="285750" y="17773650"/>
          <a:ext cx="0" cy="0"/>
        </a:xfrm>
        <a:prstGeom prst="line">
          <a:avLst/>
        </a:prstGeom>
        <a:noFill/>
        <a:ln w="9525">
          <a:solidFill>
            <a:srgbClr val="800080"/>
          </a:solidFill>
          <a:round/>
          <a:headEnd/>
          <a:tailEnd/>
        </a:ln>
      </xdr:spPr>
    </xdr:sp>
    <xdr:clientData/>
  </xdr:twoCellAnchor>
  <xdr:twoCellAnchor>
    <xdr:from>
      <xdr:col>0</xdr:col>
      <xdr:colOff>285750</xdr:colOff>
      <xdr:row>63</xdr:row>
      <xdr:rowOff>0</xdr:rowOff>
    </xdr:from>
    <xdr:to>
      <xdr:col>0</xdr:col>
      <xdr:colOff>285750</xdr:colOff>
      <xdr:row>63</xdr:row>
      <xdr:rowOff>0</xdr:rowOff>
    </xdr:to>
    <xdr:sp macro="" textlink="">
      <xdr:nvSpPr>
        <xdr:cNvPr id="68293" name="Line 269">
          <a:extLst>
            <a:ext uri="{FF2B5EF4-FFF2-40B4-BE49-F238E27FC236}">
              <a16:creationId xmlns:a16="http://schemas.microsoft.com/office/drawing/2014/main" id="{00000000-0008-0000-0000-0000C50A0100}"/>
            </a:ext>
          </a:extLst>
        </xdr:cNvPr>
        <xdr:cNvSpPr>
          <a:spLocks noChangeShapeType="1"/>
        </xdr:cNvSpPr>
      </xdr:nvSpPr>
      <xdr:spPr bwMode="auto">
        <a:xfrm flipH="1">
          <a:off x="285750" y="17773650"/>
          <a:ext cx="0" cy="0"/>
        </a:xfrm>
        <a:prstGeom prst="line">
          <a:avLst/>
        </a:prstGeom>
        <a:noFill/>
        <a:ln w="9525">
          <a:solidFill>
            <a:srgbClr val="000000"/>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294" name="Line 270">
          <a:extLst>
            <a:ext uri="{FF2B5EF4-FFF2-40B4-BE49-F238E27FC236}">
              <a16:creationId xmlns:a16="http://schemas.microsoft.com/office/drawing/2014/main" id="{00000000-0008-0000-0000-0000C60A0100}"/>
            </a:ext>
          </a:extLst>
        </xdr:cNvPr>
        <xdr:cNvSpPr>
          <a:spLocks noChangeShapeType="1"/>
        </xdr:cNvSpPr>
      </xdr:nvSpPr>
      <xdr:spPr bwMode="auto">
        <a:xfrm>
          <a:off x="1657350" y="17773650"/>
          <a:ext cx="0" cy="0"/>
        </a:xfrm>
        <a:prstGeom prst="line">
          <a:avLst/>
        </a:prstGeom>
        <a:noFill/>
        <a:ln w="9525">
          <a:solidFill>
            <a:srgbClr val="800080"/>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295" name="Line 271">
          <a:extLst>
            <a:ext uri="{FF2B5EF4-FFF2-40B4-BE49-F238E27FC236}">
              <a16:creationId xmlns:a16="http://schemas.microsoft.com/office/drawing/2014/main" id="{00000000-0008-0000-0000-0000C70A0100}"/>
            </a:ext>
          </a:extLst>
        </xdr:cNvPr>
        <xdr:cNvSpPr>
          <a:spLocks noChangeShapeType="1"/>
        </xdr:cNvSpPr>
      </xdr:nvSpPr>
      <xdr:spPr bwMode="auto">
        <a:xfrm flipH="1">
          <a:off x="1657350" y="17773650"/>
          <a:ext cx="0" cy="0"/>
        </a:xfrm>
        <a:prstGeom prst="line">
          <a:avLst/>
        </a:prstGeom>
        <a:noFill/>
        <a:ln w="9525">
          <a:solidFill>
            <a:srgbClr val="000000"/>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296" name="Line 272">
          <a:extLst>
            <a:ext uri="{FF2B5EF4-FFF2-40B4-BE49-F238E27FC236}">
              <a16:creationId xmlns:a16="http://schemas.microsoft.com/office/drawing/2014/main" id="{00000000-0008-0000-0000-0000C80A0100}"/>
            </a:ext>
          </a:extLst>
        </xdr:cNvPr>
        <xdr:cNvSpPr>
          <a:spLocks noChangeShapeType="1"/>
        </xdr:cNvSpPr>
      </xdr:nvSpPr>
      <xdr:spPr bwMode="auto">
        <a:xfrm>
          <a:off x="2419350" y="17773650"/>
          <a:ext cx="0" cy="0"/>
        </a:xfrm>
        <a:prstGeom prst="line">
          <a:avLst/>
        </a:prstGeom>
        <a:noFill/>
        <a:ln w="9525">
          <a:solidFill>
            <a:srgbClr val="800080"/>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297" name="Line 273">
          <a:extLst>
            <a:ext uri="{FF2B5EF4-FFF2-40B4-BE49-F238E27FC236}">
              <a16:creationId xmlns:a16="http://schemas.microsoft.com/office/drawing/2014/main" id="{00000000-0008-0000-0000-0000C90A0100}"/>
            </a:ext>
          </a:extLst>
        </xdr:cNvPr>
        <xdr:cNvSpPr>
          <a:spLocks noChangeShapeType="1"/>
        </xdr:cNvSpPr>
      </xdr:nvSpPr>
      <xdr:spPr bwMode="auto">
        <a:xfrm flipH="1">
          <a:off x="2419350" y="17773650"/>
          <a:ext cx="0" cy="0"/>
        </a:xfrm>
        <a:prstGeom prst="line">
          <a:avLst/>
        </a:prstGeom>
        <a:noFill/>
        <a:ln w="9525">
          <a:solidFill>
            <a:srgbClr val="000000"/>
          </a:solidFill>
          <a:round/>
          <a:headEnd/>
          <a:tailEnd/>
        </a:ln>
      </xdr:spPr>
    </xdr:sp>
    <xdr:clientData/>
  </xdr:twoCellAnchor>
  <xdr:twoCellAnchor>
    <xdr:from>
      <xdr:col>4</xdr:col>
      <xdr:colOff>285750</xdr:colOff>
      <xdr:row>63</xdr:row>
      <xdr:rowOff>0</xdr:rowOff>
    </xdr:from>
    <xdr:to>
      <xdr:col>4</xdr:col>
      <xdr:colOff>285750</xdr:colOff>
      <xdr:row>63</xdr:row>
      <xdr:rowOff>0</xdr:rowOff>
    </xdr:to>
    <xdr:sp macro="" textlink="">
      <xdr:nvSpPr>
        <xdr:cNvPr id="68298" name="Line 274">
          <a:extLst>
            <a:ext uri="{FF2B5EF4-FFF2-40B4-BE49-F238E27FC236}">
              <a16:creationId xmlns:a16="http://schemas.microsoft.com/office/drawing/2014/main" id="{00000000-0008-0000-0000-0000CA0A0100}"/>
            </a:ext>
          </a:extLst>
        </xdr:cNvPr>
        <xdr:cNvSpPr>
          <a:spLocks noChangeShapeType="1"/>
        </xdr:cNvSpPr>
      </xdr:nvSpPr>
      <xdr:spPr bwMode="auto">
        <a:xfrm>
          <a:off x="3267075" y="17773650"/>
          <a:ext cx="0" cy="0"/>
        </a:xfrm>
        <a:prstGeom prst="line">
          <a:avLst/>
        </a:prstGeom>
        <a:noFill/>
        <a:ln w="9525">
          <a:solidFill>
            <a:srgbClr val="800080"/>
          </a:solidFill>
          <a:round/>
          <a:headEnd/>
          <a:tailEnd/>
        </a:ln>
      </xdr:spPr>
    </xdr:sp>
    <xdr:clientData/>
  </xdr:twoCellAnchor>
  <xdr:twoCellAnchor>
    <xdr:from>
      <xdr:col>4</xdr:col>
      <xdr:colOff>285750</xdr:colOff>
      <xdr:row>63</xdr:row>
      <xdr:rowOff>0</xdr:rowOff>
    </xdr:from>
    <xdr:to>
      <xdr:col>4</xdr:col>
      <xdr:colOff>285750</xdr:colOff>
      <xdr:row>63</xdr:row>
      <xdr:rowOff>0</xdr:rowOff>
    </xdr:to>
    <xdr:sp macro="" textlink="">
      <xdr:nvSpPr>
        <xdr:cNvPr id="68299" name="Line 275">
          <a:extLst>
            <a:ext uri="{FF2B5EF4-FFF2-40B4-BE49-F238E27FC236}">
              <a16:creationId xmlns:a16="http://schemas.microsoft.com/office/drawing/2014/main" id="{00000000-0008-0000-0000-0000CB0A0100}"/>
            </a:ext>
          </a:extLst>
        </xdr:cNvPr>
        <xdr:cNvSpPr>
          <a:spLocks noChangeShapeType="1"/>
        </xdr:cNvSpPr>
      </xdr:nvSpPr>
      <xdr:spPr bwMode="auto">
        <a:xfrm flipH="1">
          <a:off x="3267075" y="17773650"/>
          <a:ext cx="0" cy="0"/>
        </a:xfrm>
        <a:prstGeom prst="line">
          <a:avLst/>
        </a:prstGeom>
        <a:noFill/>
        <a:ln w="9525">
          <a:solidFill>
            <a:srgbClr val="000000"/>
          </a:solidFill>
          <a:round/>
          <a:headEnd/>
          <a:tailEnd/>
        </a:ln>
      </xdr:spPr>
    </xdr:sp>
    <xdr:clientData/>
  </xdr:twoCellAnchor>
  <xdr:twoCellAnchor>
    <xdr:from>
      <xdr:col>5</xdr:col>
      <xdr:colOff>285750</xdr:colOff>
      <xdr:row>63</xdr:row>
      <xdr:rowOff>0</xdr:rowOff>
    </xdr:from>
    <xdr:to>
      <xdr:col>5</xdr:col>
      <xdr:colOff>285750</xdr:colOff>
      <xdr:row>63</xdr:row>
      <xdr:rowOff>0</xdr:rowOff>
    </xdr:to>
    <xdr:sp macro="" textlink="">
      <xdr:nvSpPr>
        <xdr:cNvPr id="68300" name="Line 276">
          <a:extLst>
            <a:ext uri="{FF2B5EF4-FFF2-40B4-BE49-F238E27FC236}">
              <a16:creationId xmlns:a16="http://schemas.microsoft.com/office/drawing/2014/main" id="{00000000-0008-0000-0000-0000CC0A0100}"/>
            </a:ext>
          </a:extLst>
        </xdr:cNvPr>
        <xdr:cNvSpPr>
          <a:spLocks noChangeShapeType="1"/>
        </xdr:cNvSpPr>
      </xdr:nvSpPr>
      <xdr:spPr bwMode="auto">
        <a:xfrm flipH="1">
          <a:off x="3914775" y="17773650"/>
          <a:ext cx="0" cy="0"/>
        </a:xfrm>
        <a:prstGeom prst="line">
          <a:avLst/>
        </a:prstGeom>
        <a:noFill/>
        <a:ln w="9525">
          <a:solidFill>
            <a:srgbClr val="000000"/>
          </a:solidFill>
          <a:round/>
          <a:headEnd/>
          <a:tailEnd/>
        </a:ln>
      </xdr:spPr>
    </xdr:sp>
    <xdr:clientData/>
  </xdr:twoCellAnchor>
  <xdr:twoCellAnchor>
    <xdr:from>
      <xdr:col>5</xdr:col>
      <xdr:colOff>285750</xdr:colOff>
      <xdr:row>63</xdr:row>
      <xdr:rowOff>0</xdr:rowOff>
    </xdr:from>
    <xdr:to>
      <xdr:col>5</xdr:col>
      <xdr:colOff>285750</xdr:colOff>
      <xdr:row>63</xdr:row>
      <xdr:rowOff>0</xdr:rowOff>
    </xdr:to>
    <xdr:sp macro="" textlink="">
      <xdr:nvSpPr>
        <xdr:cNvPr id="68301" name="Line 277">
          <a:extLst>
            <a:ext uri="{FF2B5EF4-FFF2-40B4-BE49-F238E27FC236}">
              <a16:creationId xmlns:a16="http://schemas.microsoft.com/office/drawing/2014/main" id="{00000000-0008-0000-0000-0000CD0A0100}"/>
            </a:ext>
          </a:extLst>
        </xdr:cNvPr>
        <xdr:cNvSpPr>
          <a:spLocks noChangeShapeType="1"/>
        </xdr:cNvSpPr>
      </xdr:nvSpPr>
      <xdr:spPr bwMode="auto">
        <a:xfrm>
          <a:off x="3914775" y="17773650"/>
          <a:ext cx="0" cy="0"/>
        </a:xfrm>
        <a:prstGeom prst="line">
          <a:avLst/>
        </a:prstGeom>
        <a:noFill/>
        <a:ln w="9525">
          <a:solidFill>
            <a:srgbClr val="800080"/>
          </a:solidFill>
          <a:round/>
          <a:headEnd/>
          <a:tailEnd/>
        </a:ln>
      </xdr:spPr>
    </xdr:sp>
    <xdr:clientData/>
  </xdr:twoCellAnchor>
  <xdr:twoCellAnchor>
    <xdr:from>
      <xdr:col>5</xdr:col>
      <xdr:colOff>285750</xdr:colOff>
      <xdr:row>63</xdr:row>
      <xdr:rowOff>0</xdr:rowOff>
    </xdr:from>
    <xdr:to>
      <xdr:col>5</xdr:col>
      <xdr:colOff>285750</xdr:colOff>
      <xdr:row>63</xdr:row>
      <xdr:rowOff>0</xdr:rowOff>
    </xdr:to>
    <xdr:sp macro="" textlink="">
      <xdr:nvSpPr>
        <xdr:cNvPr id="68302" name="Line 278">
          <a:extLst>
            <a:ext uri="{FF2B5EF4-FFF2-40B4-BE49-F238E27FC236}">
              <a16:creationId xmlns:a16="http://schemas.microsoft.com/office/drawing/2014/main" id="{00000000-0008-0000-0000-0000CE0A0100}"/>
            </a:ext>
          </a:extLst>
        </xdr:cNvPr>
        <xdr:cNvSpPr>
          <a:spLocks noChangeShapeType="1"/>
        </xdr:cNvSpPr>
      </xdr:nvSpPr>
      <xdr:spPr bwMode="auto">
        <a:xfrm flipH="1">
          <a:off x="3914775" y="17773650"/>
          <a:ext cx="0" cy="0"/>
        </a:xfrm>
        <a:prstGeom prst="line">
          <a:avLst/>
        </a:prstGeom>
        <a:noFill/>
        <a:ln w="9525">
          <a:solidFill>
            <a:srgbClr val="000000"/>
          </a:solidFill>
          <a:round/>
          <a:headEnd/>
          <a:tailEnd/>
        </a:ln>
      </xdr:spPr>
    </xdr:sp>
    <xdr:clientData/>
  </xdr:twoCellAnchor>
  <xdr:twoCellAnchor>
    <xdr:from>
      <xdr:col>6</xdr:col>
      <xdr:colOff>323850</xdr:colOff>
      <xdr:row>63</xdr:row>
      <xdr:rowOff>0</xdr:rowOff>
    </xdr:from>
    <xdr:to>
      <xdr:col>6</xdr:col>
      <xdr:colOff>323850</xdr:colOff>
      <xdr:row>63</xdr:row>
      <xdr:rowOff>0</xdr:rowOff>
    </xdr:to>
    <xdr:sp macro="" textlink="">
      <xdr:nvSpPr>
        <xdr:cNvPr id="68303" name="Line 279">
          <a:extLst>
            <a:ext uri="{FF2B5EF4-FFF2-40B4-BE49-F238E27FC236}">
              <a16:creationId xmlns:a16="http://schemas.microsoft.com/office/drawing/2014/main" id="{00000000-0008-0000-0000-0000CF0A0100}"/>
            </a:ext>
          </a:extLst>
        </xdr:cNvPr>
        <xdr:cNvSpPr>
          <a:spLocks noChangeShapeType="1"/>
        </xdr:cNvSpPr>
      </xdr:nvSpPr>
      <xdr:spPr bwMode="auto">
        <a:xfrm>
          <a:off x="4600575" y="17773650"/>
          <a:ext cx="0" cy="0"/>
        </a:xfrm>
        <a:prstGeom prst="line">
          <a:avLst/>
        </a:prstGeom>
        <a:noFill/>
        <a:ln w="9525">
          <a:solidFill>
            <a:srgbClr val="800080"/>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304" name="Line 281">
          <a:extLst>
            <a:ext uri="{FF2B5EF4-FFF2-40B4-BE49-F238E27FC236}">
              <a16:creationId xmlns:a16="http://schemas.microsoft.com/office/drawing/2014/main" id="{00000000-0008-0000-0000-0000D00A0100}"/>
            </a:ext>
          </a:extLst>
        </xdr:cNvPr>
        <xdr:cNvSpPr>
          <a:spLocks noChangeShapeType="1"/>
        </xdr:cNvSpPr>
      </xdr:nvSpPr>
      <xdr:spPr bwMode="auto">
        <a:xfrm>
          <a:off x="1657350" y="17773650"/>
          <a:ext cx="0" cy="0"/>
        </a:xfrm>
        <a:prstGeom prst="line">
          <a:avLst/>
        </a:prstGeom>
        <a:noFill/>
        <a:ln w="9525">
          <a:solidFill>
            <a:srgbClr val="000000"/>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305" name="Line 282">
          <a:extLst>
            <a:ext uri="{FF2B5EF4-FFF2-40B4-BE49-F238E27FC236}">
              <a16:creationId xmlns:a16="http://schemas.microsoft.com/office/drawing/2014/main" id="{00000000-0008-0000-0000-0000D10A0100}"/>
            </a:ext>
          </a:extLst>
        </xdr:cNvPr>
        <xdr:cNvSpPr>
          <a:spLocks noChangeShapeType="1"/>
        </xdr:cNvSpPr>
      </xdr:nvSpPr>
      <xdr:spPr bwMode="auto">
        <a:xfrm>
          <a:off x="2419350" y="17773650"/>
          <a:ext cx="0" cy="0"/>
        </a:xfrm>
        <a:prstGeom prst="line">
          <a:avLst/>
        </a:prstGeom>
        <a:noFill/>
        <a:ln w="9525">
          <a:solidFill>
            <a:srgbClr val="000000"/>
          </a:solidFill>
          <a:round/>
          <a:headEnd/>
          <a:tailEnd/>
        </a:ln>
      </xdr:spPr>
    </xdr:sp>
    <xdr:clientData/>
  </xdr:twoCellAnchor>
  <xdr:twoCellAnchor>
    <xdr:from>
      <xdr:col>2</xdr:col>
      <xdr:colOff>285750</xdr:colOff>
      <xdr:row>63</xdr:row>
      <xdr:rowOff>0</xdr:rowOff>
    </xdr:from>
    <xdr:to>
      <xdr:col>2</xdr:col>
      <xdr:colOff>285750</xdr:colOff>
      <xdr:row>63</xdr:row>
      <xdr:rowOff>0</xdr:rowOff>
    </xdr:to>
    <xdr:sp macro="" textlink="">
      <xdr:nvSpPr>
        <xdr:cNvPr id="68306" name="Line 284">
          <a:extLst>
            <a:ext uri="{FF2B5EF4-FFF2-40B4-BE49-F238E27FC236}">
              <a16:creationId xmlns:a16="http://schemas.microsoft.com/office/drawing/2014/main" id="{00000000-0008-0000-0000-0000D20A0100}"/>
            </a:ext>
          </a:extLst>
        </xdr:cNvPr>
        <xdr:cNvSpPr>
          <a:spLocks noChangeShapeType="1"/>
        </xdr:cNvSpPr>
      </xdr:nvSpPr>
      <xdr:spPr bwMode="auto">
        <a:xfrm>
          <a:off x="1657350" y="17773650"/>
          <a:ext cx="0" cy="0"/>
        </a:xfrm>
        <a:prstGeom prst="line">
          <a:avLst/>
        </a:prstGeom>
        <a:noFill/>
        <a:ln w="9525">
          <a:solidFill>
            <a:srgbClr val="000000"/>
          </a:solidFill>
          <a:round/>
          <a:headEnd/>
          <a:tailEnd/>
        </a:ln>
      </xdr:spPr>
    </xdr:sp>
    <xdr:clientData/>
  </xdr:twoCellAnchor>
  <xdr:twoCellAnchor>
    <xdr:from>
      <xdr:col>3</xdr:col>
      <xdr:colOff>285750</xdr:colOff>
      <xdr:row>63</xdr:row>
      <xdr:rowOff>0</xdr:rowOff>
    </xdr:from>
    <xdr:to>
      <xdr:col>3</xdr:col>
      <xdr:colOff>285750</xdr:colOff>
      <xdr:row>63</xdr:row>
      <xdr:rowOff>0</xdr:rowOff>
    </xdr:to>
    <xdr:sp macro="" textlink="">
      <xdr:nvSpPr>
        <xdr:cNvPr id="68307" name="Line 285">
          <a:extLst>
            <a:ext uri="{FF2B5EF4-FFF2-40B4-BE49-F238E27FC236}">
              <a16:creationId xmlns:a16="http://schemas.microsoft.com/office/drawing/2014/main" id="{00000000-0008-0000-0000-0000D30A0100}"/>
            </a:ext>
          </a:extLst>
        </xdr:cNvPr>
        <xdr:cNvSpPr>
          <a:spLocks noChangeShapeType="1"/>
        </xdr:cNvSpPr>
      </xdr:nvSpPr>
      <xdr:spPr bwMode="auto">
        <a:xfrm>
          <a:off x="2419350" y="17773650"/>
          <a:ext cx="0" cy="0"/>
        </a:xfrm>
        <a:prstGeom prst="line">
          <a:avLst/>
        </a:prstGeom>
        <a:noFill/>
        <a:ln w="9525">
          <a:solidFill>
            <a:srgbClr val="000000"/>
          </a:solidFill>
          <a:round/>
          <a:headEnd/>
          <a:tailEnd/>
        </a:ln>
      </xdr:spPr>
    </xdr:sp>
    <xdr:clientData/>
  </xdr:twoCellAnchor>
  <xdr:twoCellAnchor>
    <xdr:from>
      <xdr:col>4</xdr:col>
      <xdr:colOff>285750</xdr:colOff>
      <xdr:row>63</xdr:row>
      <xdr:rowOff>0</xdr:rowOff>
    </xdr:from>
    <xdr:to>
      <xdr:col>4</xdr:col>
      <xdr:colOff>285750</xdr:colOff>
      <xdr:row>63</xdr:row>
      <xdr:rowOff>0</xdr:rowOff>
    </xdr:to>
    <xdr:sp macro="" textlink="">
      <xdr:nvSpPr>
        <xdr:cNvPr id="68308" name="Line 286">
          <a:extLst>
            <a:ext uri="{FF2B5EF4-FFF2-40B4-BE49-F238E27FC236}">
              <a16:creationId xmlns:a16="http://schemas.microsoft.com/office/drawing/2014/main" id="{00000000-0008-0000-0000-0000D40A0100}"/>
            </a:ext>
          </a:extLst>
        </xdr:cNvPr>
        <xdr:cNvSpPr>
          <a:spLocks noChangeShapeType="1"/>
        </xdr:cNvSpPr>
      </xdr:nvSpPr>
      <xdr:spPr bwMode="auto">
        <a:xfrm>
          <a:off x="3267075" y="17773650"/>
          <a:ext cx="0" cy="0"/>
        </a:xfrm>
        <a:prstGeom prst="line">
          <a:avLst/>
        </a:prstGeom>
        <a:noFill/>
        <a:ln w="9525">
          <a:solidFill>
            <a:srgbClr val="000000"/>
          </a:solidFill>
          <a:round/>
          <a:headEnd/>
          <a:tailEnd/>
        </a:ln>
      </xdr:spPr>
    </xdr:sp>
    <xdr:clientData/>
  </xdr:twoCellAnchor>
  <xdr:twoCellAnchor>
    <xdr:from>
      <xdr:col>5</xdr:col>
      <xdr:colOff>285750</xdr:colOff>
      <xdr:row>63</xdr:row>
      <xdr:rowOff>0</xdr:rowOff>
    </xdr:from>
    <xdr:to>
      <xdr:col>5</xdr:col>
      <xdr:colOff>285750</xdr:colOff>
      <xdr:row>63</xdr:row>
      <xdr:rowOff>0</xdr:rowOff>
    </xdr:to>
    <xdr:sp macro="" textlink="">
      <xdr:nvSpPr>
        <xdr:cNvPr id="68309" name="Line 287">
          <a:extLst>
            <a:ext uri="{FF2B5EF4-FFF2-40B4-BE49-F238E27FC236}">
              <a16:creationId xmlns:a16="http://schemas.microsoft.com/office/drawing/2014/main" id="{00000000-0008-0000-0000-0000D50A0100}"/>
            </a:ext>
          </a:extLst>
        </xdr:cNvPr>
        <xdr:cNvSpPr>
          <a:spLocks noChangeShapeType="1"/>
        </xdr:cNvSpPr>
      </xdr:nvSpPr>
      <xdr:spPr bwMode="auto">
        <a:xfrm>
          <a:off x="3914775" y="17773650"/>
          <a:ext cx="0" cy="0"/>
        </a:xfrm>
        <a:prstGeom prst="line">
          <a:avLst/>
        </a:prstGeom>
        <a:noFill/>
        <a:ln w="9525">
          <a:solidFill>
            <a:srgbClr val="000000"/>
          </a:solidFill>
          <a:round/>
          <a:headEnd/>
          <a:tailEnd/>
        </a:ln>
      </xdr:spPr>
    </xdr:sp>
    <xdr:clientData/>
  </xdr:twoCellAnchor>
  <xdr:twoCellAnchor>
    <xdr:from>
      <xdr:col>2</xdr:col>
      <xdr:colOff>381000</xdr:colOff>
      <xdr:row>63</xdr:row>
      <xdr:rowOff>0</xdr:rowOff>
    </xdr:from>
    <xdr:to>
      <xdr:col>2</xdr:col>
      <xdr:colOff>381000</xdr:colOff>
      <xdr:row>63</xdr:row>
      <xdr:rowOff>0</xdr:rowOff>
    </xdr:to>
    <xdr:sp macro="" textlink="">
      <xdr:nvSpPr>
        <xdr:cNvPr id="68310" name="Line 313">
          <a:extLst>
            <a:ext uri="{FF2B5EF4-FFF2-40B4-BE49-F238E27FC236}">
              <a16:creationId xmlns:a16="http://schemas.microsoft.com/office/drawing/2014/main" id="{00000000-0008-0000-0000-0000D60A0100}"/>
            </a:ext>
          </a:extLst>
        </xdr:cNvPr>
        <xdr:cNvSpPr>
          <a:spLocks noChangeShapeType="1"/>
        </xdr:cNvSpPr>
      </xdr:nvSpPr>
      <xdr:spPr bwMode="auto">
        <a:xfrm flipV="1">
          <a:off x="1752600" y="17773650"/>
          <a:ext cx="0" cy="0"/>
        </a:xfrm>
        <a:prstGeom prst="line">
          <a:avLst/>
        </a:prstGeom>
        <a:noFill/>
        <a:ln w="9525">
          <a:solidFill>
            <a:srgbClr val="008000"/>
          </a:solidFill>
          <a:round/>
          <a:headEnd/>
          <a:tailEnd/>
        </a:ln>
      </xdr:spPr>
    </xdr:sp>
    <xdr:clientData/>
  </xdr:twoCellAnchor>
  <xdr:twoCellAnchor>
    <xdr:from>
      <xdr:col>3</xdr:col>
      <xdr:colOff>352425</xdr:colOff>
      <xdr:row>63</xdr:row>
      <xdr:rowOff>0</xdr:rowOff>
    </xdr:from>
    <xdr:to>
      <xdr:col>3</xdr:col>
      <xdr:colOff>352425</xdr:colOff>
      <xdr:row>63</xdr:row>
      <xdr:rowOff>0</xdr:rowOff>
    </xdr:to>
    <xdr:sp macro="" textlink="">
      <xdr:nvSpPr>
        <xdr:cNvPr id="68311" name="Line 314">
          <a:extLst>
            <a:ext uri="{FF2B5EF4-FFF2-40B4-BE49-F238E27FC236}">
              <a16:creationId xmlns:a16="http://schemas.microsoft.com/office/drawing/2014/main" id="{00000000-0008-0000-0000-0000D70A0100}"/>
            </a:ext>
          </a:extLst>
        </xdr:cNvPr>
        <xdr:cNvSpPr>
          <a:spLocks noChangeShapeType="1"/>
        </xdr:cNvSpPr>
      </xdr:nvSpPr>
      <xdr:spPr bwMode="auto">
        <a:xfrm flipV="1">
          <a:off x="2486025" y="17773650"/>
          <a:ext cx="0" cy="0"/>
        </a:xfrm>
        <a:prstGeom prst="line">
          <a:avLst/>
        </a:prstGeom>
        <a:noFill/>
        <a:ln w="9525">
          <a:solidFill>
            <a:srgbClr val="008000"/>
          </a:solidFill>
          <a:round/>
          <a:headEnd/>
          <a:tailEnd/>
        </a:ln>
      </xdr:spPr>
    </xdr:sp>
    <xdr:clientData/>
  </xdr:twoCellAnchor>
  <xdr:twoCellAnchor>
    <xdr:from>
      <xdr:col>2</xdr:col>
      <xdr:colOff>371475</xdr:colOff>
      <xdr:row>63</xdr:row>
      <xdr:rowOff>0</xdr:rowOff>
    </xdr:from>
    <xdr:to>
      <xdr:col>2</xdr:col>
      <xdr:colOff>371475</xdr:colOff>
      <xdr:row>63</xdr:row>
      <xdr:rowOff>0</xdr:rowOff>
    </xdr:to>
    <xdr:sp macro="" textlink="">
      <xdr:nvSpPr>
        <xdr:cNvPr id="68312" name="Line 317">
          <a:extLst>
            <a:ext uri="{FF2B5EF4-FFF2-40B4-BE49-F238E27FC236}">
              <a16:creationId xmlns:a16="http://schemas.microsoft.com/office/drawing/2014/main" id="{00000000-0008-0000-0000-0000D80A0100}"/>
            </a:ext>
          </a:extLst>
        </xdr:cNvPr>
        <xdr:cNvSpPr>
          <a:spLocks noChangeShapeType="1"/>
        </xdr:cNvSpPr>
      </xdr:nvSpPr>
      <xdr:spPr bwMode="auto">
        <a:xfrm flipV="1">
          <a:off x="1743075" y="17773650"/>
          <a:ext cx="0" cy="0"/>
        </a:xfrm>
        <a:prstGeom prst="line">
          <a:avLst/>
        </a:prstGeom>
        <a:noFill/>
        <a:ln w="9525">
          <a:solidFill>
            <a:srgbClr val="800080"/>
          </a:solidFill>
          <a:round/>
          <a:headEnd/>
          <a:tailEnd/>
        </a:ln>
      </xdr:spPr>
    </xdr:sp>
    <xdr:clientData/>
  </xdr:twoCellAnchor>
  <xdr:twoCellAnchor>
    <xdr:from>
      <xdr:col>3</xdr:col>
      <xdr:colOff>352425</xdr:colOff>
      <xdr:row>63</xdr:row>
      <xdr:rowOff>0</xdr:rowOff>
    </xdr:from>
    <xdr:to>
      <xdr:col>3</xdr:col>
      <xdr:colOff>352425</xdr:colOff>
      <xdr:row>63</xdr:row>
      <xdr:rowOff>0</xdr:rowOff>
    </xdr:to>
    <xdr:sp macro="" textlink="">
      <xdr:nvSpPr>
        <xdr:cNvPr id="68313" name="Line 318">
          <a:extLst>
            <a:ext uri="{FF2B5EF4-FFF2-40B4-BE49-F238E27FC236}">
              <a16:creationId xmlns:a16="http://schemas.microsoft.com/office/drawing/2014/main" id="{00000000-0008-0000-0000-0000D90A0100}"/>
            </a:ext>
          </a:extLst>
        </xdr:cNvPr>
        <xdr:cNvSpPr>
          <a:spLocks noChangeShapeType="1"/>
        </xdr:cNvSpPr>
      </xdr:nvSpPr>
      <xdr:spPr bwMode="auto">
        <a:xfrm flipV="1">
          <a:off x="2486025" y="17773650"/>
          <a:ext cx="0" cy="0"/>
        </a:xfrm>
        <a:prstGeom prst="line">
          <a:avLst/>
        </a:prstGeom>
        <a:noFill/>
        <a:ln w="9525">
          <a:solidFill>
            <a:srgbClr val="800080"/>
          </a:solidFill>
          <a:round/>
          <a:headEnd/>
          <a:tailEnd/>
        </a:ln>
      </xdr:spPr>
    </xdr:sp>
    <xdr:clientData/>
  </xdr:twoCellAnchor>
  <xdr:twoCellAnchor>
    <xdr:from>
      <xdr:col>4</xdr:col>
      <xdr:colOff>352425</xdr:colOff>
      <xdr:row>63</xdr:row>
      <xdr:rowOff>0</xdr:rowOff>
    </xdr:from>
    <xdr:to>
      <xdr:col>4</xdr:col>
      <xdr:colOff>352425</xdr:colOff>
      <xdr:row>63</xdr:row>
      <xdr:rowOff>0</xdr:rowOff>
    </xdr:to>
    <xdr:sp macro="" textlink="">
      <xdr:nvSpPr>
        <xdr:cNvPr id="68314" name="Line 319">
          <a:extLst>
            <a:ext uri="{FF2B5EF4-FFF2-40B4-BE49-F238E27FC236}">
              <a16:creationId xmlns:a16="http://schemas.microsoft.com/office/drawing/2014/main" id="{00000000-0008-0000-0000-0000DA0A0100}"/>
            </a:ext>
          </a:extLst>
        </xdr:cNvPr>
        <xdr:cNvSpPr>
          <a:spLocks noChangeShapeType="1"/>
        </xdr:cNvSpPr>
      </xdr:nvSpPr>
      <xdr:spPr bwMode="auto">
        <a:xfrm flipV="1">
          <a:off x="3333750" y="17773650"/>
          <a:ext cx="0" cy="0"/>
        </a:xfrm>
        <a:prstGeom prst="line">
          <a:avLst/>
        </a:prstGeom>
        <a:noFill/>
        <a:ln w="9525">
          <a:solidFill>
            <a:srgbClr val="800080"/>
          </a:solidFill>
          <a:round/>
          <a:headEnd/>
          <a:tailEnd/>
        </a:ln>
      </xdr:spPr>
    </xdr:sp>
    <xdr:clientData/>
  </xdr:twoCellAnchor>
  <xdr:twoCellAnchor>
    <xdr:from>
      <xdr:col>5</xdr:col>
      <xdr:colOff>333375</xdr:colOff>
      <xdr:row>63</xdr:row>
      <xdr:rowOff>0</xdr:rowOff>
    </xdr:from>
    <xdr:to>
      <xdr:col>5</xdr:col>
      <xdr:colOff>333375</xdr:colOff>
      <xdr:row>63</xdr:row>
      <xdr:rowOff>0</xdr:rowOff>
    </xdr:to>
    <xdr:sp macro="" textlink="">
      <xdr:nvSpPr>
        <xdr:cNvPr id="68315" name="Line 320">
          <a:extLst>
            <a:ext uri="{FF2B5EF4-FFF2-40B4-BE49-F238E27FC236}">
              <a16:creationId xmlns:a16="http://schemas.microsoft.com/office/drawing/2014/main" id="{00000000-0008-0000-0000-0000DB0A0100}"/>
            </a:ext>
          </a:extLst>
        </xdr:cNvPr>
        <xdr:cNvSpPr>
          <a:spLocks noChangeShapeType="1"/>
        </xdr:cNvSpPr>
      </xdr:nvSpPr>
      <xdr:spPr bwMode="auto">
        <a:xfrm flipV="1">
          <a:off x="3962400" y="17773650"/>
          <a:ext cx="0" cy="0"/>
        </a:xfrm>
        <a:prstGeom prst="line">
          <a:avLst/>
        </a:prstGeom>
        <a:noFill/>
        <a:ln w="9525">
          <a:solidFill>
            <a:srgbClr val="800080"/>
          </a:solidFill>
          <a:round/>
          <a:headEnd/>
          <a:tailEnd/>
        </a:ln>
      </xdr:spPr>
    </xdr:sp>
    <xdr:clientData/>
  </xdr:twoCellAnchor>
  <xdr:twoCellAnchor>
    <xdr:from>
      <xdr:col>6</xdr:col>
      <xdr:colOff>371475</xdr:colOff>
      <xdr:row>63</xdr:row>
      <xdr:rowOff>0</xdr:rowOff>
    </xdr:from>
    <xdr:to>
      <xdr:col>6</xdr:col>
      <xdr:colOff>371475</xdr:colOff>
      <xdr:row>63</xdr:row>
      <xdr:rowOff>0</xdr:rowOff>
    </xdr:to>
    <xdr:sp macro="" textlink="">
      <xdr:nvSpPr>
        <xdr:cNvPr id="68316" name="Line 321">
          <a:extLst>
            <a:ext uri="{FF2B5EF4-FFF2-40B4-BE49-F238E27FC236}">
              <a16:creationId xmlns:a16="http://schemas.microsoft.com/office/drawing/2014/main" id="{00000000-0008-0000-0000-0000DC0A0100}"/>
            </a:ext>
          </a:extLst>
        </xdr:cNvPr>
        <xdr:cNvSpPr>
          <a:spLocks noChangeShapeType="1"/>
        </xdr:cNvSpPr>
      </xdr:nvSpPr>
      <xdr:spPr bwMode="auto">
        <a:xfrm flipV="1">
          <a:off x="4648200" y="17773650"/>
          <a:ext cx="0" cy="0"/>
        </a:xfrm>
        <a:prstGeom prst="line">
          <a:avLst/>
        </a:prstGeom>
        <a:noFill/>
        <a:ln w="9525">
          <a:solidFill>
            <a:srgbClr val="80008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61</xdr:row>
      <xdr:rowOff>95250</xdr:rowOff>
    </xdr:from>
    <xdr:to>
      <xdr:col>8</xdr:col>
      <xdr:colOff>647700</xdr:colOff>
      <xdr:row>85</xdr:row>
      <xdr:rowOff>57150</xdr:rowOff>
    </xdr:to>
    <xdr:graphicFrame macro="">
      <xdr:nvGraphicFramePr>
        <xdr:cNvPr id="52345" name="Chart 1025">
          <a:extLst>
            <a:ext uri="{FF2B5EF4-FFF2-40B4-BE49-F238E27FC236}">
              <a16:creationId xmlns:a16="http://schemas.microsoft.com/office/drawing/2014/main" id="{00000000-0008-0000-0200-000079C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85725</xdr:colOff>
      <xdr:row>131</xdr:row>
      <xdr:rowOff>0</xdr:rowOff>
    </xdr:from>
    <xdr:to>
      <xdr:col>8</xdr:col>
      <xdr:colOff>438150</xdr:colOff>
      <xdr:row>131</xdr:row>
      <xdr:rowOff>0</xdr:rowOff>
    </xdr:to>
    <xdr:sp macro="" textlink="">
      <xdr:nvSpPr>
        <xdr:cNvPr id="52346" name="Line 1026">
          <a:extLst>
            <a:ext uri="{FF2B5EF4-FFF2-40B4-BE49-F238E27FC236}">
              <a16:creationId xmlns:a16="http://schemas.microsoft.com/office/drawing/2014/main" id="{00000000-0008-0000-0200-00007ACC0000}"/>
            </a:ext>
          </a:extLst>
        </xdr:cNvPr>
        <xdr:cNvSpPr>
          <a:spLocks noChangeShapeType="1"/>
        </xdr:cNvSpPr>
      </xdr:nvSpPr>
      <xdr:spPr bwMode="auto">
        <a:xfrm>
          <a:off x="771525" y="28641675"/>
          <a:ext cx="5143500" cy="0"/>
        </a:xfrm>
        <a:prstGeom prst="line">
          <a:avLst/>
        </a:prstGeom>
        <a:noFill/>
        <a:ln w="12700">
          <a:solidFill>
            <a:srgbClr val="000000"/>
          </a:solidFill>
          <a:round/>
          <a:headEnd/>
          <a:tailEnd/>
        </a:ln>
      </xdr:spPr>
    </xdr:sp>
    <xdr:clientData/>
  </xdr:twoCellAnchor>
  <xdr:twoCellAnchor>
    <xdr:from>
      <xdr:col>3</xdr:col>
      <xdr:colOff>704850</xdr:colOff>
      <xdr:row>121</xdr:row>
      <xdr:rowOff>85725</xdr:rowOff>
    </xdr:from>
    <xdr:to>
      <xdr:col>3</xdr:col>
      <xdr:colOff>704850</xdr:colOff>
      <xdr:row>131</xdr:row>
      <xdr:rowOff>9525</xdr:rowOff>
    </xdr:to>
    <xdr:sp macro="" textlink="">
      <xdr:nvSpPr>
        <xdr:cNvPr id="52347" name="Line 1027">
          <a:extLst>
            <a:ext uri="{FF2B5EF4-FFF2-40B4-BE49-F238E27FC236}">
              <a16:creationId xmlns:a16="http://schemas.microsoft.com/office/drawing/2014/main" id="{00000000-0008-0000-0200-00007BCC0000}"/>
            </a:ext>
          </a:extLst>
        </xdr:cNvPr>
        <xdr:cNvSpPr>
          <a:spLocks noChangeShapeType="1"/>
        </xdr:cNvSpPr>
      </xdr:nvSpPr>
      <xdr:spPr bwMode="auto">
        <a:xfrm>
          <a:off x="2790825" y="27108150"/>
          <a:ext cx="0" cy="1543050"/>
        </a:xfrm>
        <a:prstGeom prst="line">
          <a:avLst/>
        </a:prstGeom>
        <a:noFill/>
        <a:ln w="9525">
          <a:solidFill>
            <a:srgbClr val="000000"/>
          </a:solidFill>
          <a:round/>
          <a:headEnd/>
          <a:tailEnd/>
        </a:ln>
      </xdr:spPr>
    </xdr:sp>
    <xdr:clientData/>
  </xdr:twoCellAnchor>
  <xdr:twoCellAnchor>
    <xdr:from>
      <xdr:col>1</xdr:col>
      <xdr:colOff>600075</xdr:colOff>
      <xdr:row>125</xdr:row>
      <xdr:rowOff>123825</xdr:rowOff>
    </xdr:from>
    <xdr:to>
      <xdr:col>1</xdr:col>
      <xdr:colOff>600075</xdr:colOff>
      <xdr:row>130</xdr:row>
      <xdr:rowOff>152400</xdr:rowOff>
    </xdr:to>
    <xdr:sp macro="" textlink="">
      <xdr:nvSpPr>
        <xdr:cNvPr id="52348" name="Line 1028">
          <a:extLst>
            <a:ext uri="{FF2B5EF4-FFF2-40B4-BE49-F238E27FC236}">
              <a16:creationId xmlns:a16="http://schemas.microsoft.com/office/drawing/2014/main" id="{00000000-0008-0000-0200-00007CCC0000}"/>
            </a:ext>
          </a:extLst>
        </xdr:cNvPr>
        <xdr:cNvSpPr>
          <a:spLocks noChangeShapeType="1"/>
        </xdr:cNvSpPr>
      </xdr:nvSpPr>
      <xdr:spPr bwMode="auto">
        <a:xfrm>
          <a:off x="1285875" y="27793950"/>
          <a:ext cx="0" cy="838200"/>
        </a:xfrm>
        <a:prstGeom prst="line">
          <a:avLst/>
        </a:prstGeom>
        <a:noFill/>
        <a:ln w="76200">
          <a:solidFill>
            <a:srgbClr val="000000"/>
          </a:solidFill>
          <a:round/>
          <a:headEnd/>
          <a:tailEnd/>
        </a:ln>
      </xdr:spPr>
    </xdr:sp>
    <xdr:clientData/>
  </xdr:twoCellAnchor>
  <xdr:twoCellAnchor>
    <xdr:from>
      <xdr:col>6</xdr:col>
      <xdr:colOff>571500</xdr:colOff>
      <xdr:row>125</xdr:row>
      <xdr:rowOff>133350</xdr:rowOff>
    </xdr:from>
    <xdr:to>
      <xdr:col>6</xdr:col>
      <xdr:colOff>571500</xdr:colOff>
      <xdr:row>131</xdr:row>
      <xdr:rowOff>0</xdr:rowOff>
    </xdr:to>
    <xdr:sp macro="" textlink="">
      <xdr:nvSpPr>
        <xdr:cNvPr id="52349" name="Line 1029">
          <a:extLst>
            <a:ext uri="{FF2B5EF4-FFF2-40B4-BE49-F238E27FC236}">
              <a16:creationId xmlns:a16="http://schemas.microsoft.com/office/drawing/2014/main" id="{00000000-0008-0000-0200-00007DCC0000}"/>
            </a:ext>
          </a:extLst>
        </xdr:cNvPr>
        <xdr:cNvSpPr>
          <a:spLocks noChangeShapeType="1"/>
        </xdr:cNvSpPr>
      </xdr:nvSpPr>
      <xdr:spPr bwMode="auto">
        <a:xfrm>
          <a:off x="4848225" y="27803475"/>
          <a:ext cx="0" cy="838200"/>
        </a:xfrm>
        <a:prstGeom prst="line">
          <a:avLst/>
        </a:prstGeom>
        <a:noFill/>
        <a:ln w="76200">
          <a:solidFill>
            <a:srgbClr val="000000"/>
          </a:solidFill>
          <a:round/>
          <a:headEnd/>
          <a:tailEnd/>
        </a:ln>
      </xdr:spPr>
    </xdr:sp>
    <xdr:clientData/>
  </xdr:twoCellAnchor>
  <xdr:twoCellAnchor>
    <xdr:from>
      <xdr:col>4</xdr:col>
      <xdr:colOff>19050</xdr:colOff>
      <xdr:row>120</xdr:row>
      <xdr:rowOff>123825</xdr:rowOff>
    </xdr:from>
    <xdr:to>
      <xdr:col>4</xdr:col>
      <xdr:colOff>19050</xdr:colOff>
      <xdr:row>131</xdr:row>
      <xdr:rowOff>19050</xdr:rowOff>
    </xdr:to>
    <xdr:sp macro="" textlink="">
      <xdr:nvSpPr>
        <xdr:cNvPr id="52350" name="Line 1030">
          <a:extLst>
            <a:ext uri="{FF2B5EF4-FFF2-40B4-BE49-F238E27FC236}">
              <a16:creationId xmlns:a16="http://schemas.microsoft.com/office/drawing/2014/main" id="{00000000-0008-0000-0200-00007ECC0000}"/>
            </a:ext>
          </a:extLst>
        </xdr:cNvPr>
        <xdr:cNvSpPr>
          <a:spLocks noChangeShapeType="1"/>
        </xdr:cNvSpPr>
      </xdr:nvSpPr>
      <xdr:spPr bwMode="auto">
        <a:xfrm>
          <a:off x="2933700" y="26984325"/>
          <a:ext cx="0" cy="1676400"/>
        </a:xfrm>
        <a:prstGeom prst="line">
          <a:avLst/>
        </a:prstGeom>
        <a:noFill/>
        <a:ln w="76200">
          <a:solidFill>
            <a:srgbClr val="000000"/>
          </a:solidFill>
          <a:round/>
          <a:headEnd/>
          <a:tailEnd/>
        </a:ln>
      </xdr:spPr>
    </xdr:sp>
    <xdr:clientData/>
  </xdr:twoCellAnchor>
  <xdr:twoCellAnchor>
    <xdr:from>
      <xdr:col>0</xdr:col>
      <xdr:colOff>647700</xdr:colOff>
      <xdr:row>140</xdr:row>
      <xdr:rowOff>0</xdr:rowOff>
    </xdr:from>
    <xdr:to>
      <xdr:col>8</xdr:col>
      <xdr:colOff>390525</xdr:colOff>
      <xdr:row>140</xdr:row>
      <xdr:rowOff>0</xdr:rowOff>
    </xdr:to>
    <xdr:sp macro="" textlink="">
      <xdr:nvSpPr>
        <xdr:cNvPr id="52351" name="Line 1032">
          <a:extLst>
            <a:ext uri="{FF2B5EF4-FFF2-40B4-BE49-F238E27FC236}">
              <a16:creationId xmlns:a16="http://schemas.microsoft.com/office/drawing/2014/main" id="{00000000-0008-0000-0200-00007FCC0000}"/>
            </a:ext>
          </a:extLst>
        </xdr:cNvPr>
        <xdr:cNvSpPr>
          <a:spLocks noChangeShapeType="1"/>
        </xdr:cNvSpPr>
      </xdr:nvSpPr>
      <xdr:spPr bwMode="auto">
        <a:xfrm>
          <a:off x="647700" y="30489525"/>
          <a:ext cx="5219700" cy="0"/>
        </a:xfrm>
        <a:prstGeom prst="line">
          <a:avLst/>
        </a:prstGeom>
        <a:noFill/>
        <a:ln w="12700">
          <a:solidFill>
            <a:srgbClr val="000000"/>
          </a:solidFill>
          <a:round/>
          <a:headEnd/>
          <a:tailEnd/>
        </a:ln>
      </xdr:spPr>
    </xdr:sp>
    <xdr:clientData/>
  </xdr:twoCellAnchor>
  <xdr:twoCellAnchor>
    <xdr:from>
      <xdr:col>3</xdr:col>
      <xdr:colOff>733425</xdr:colOff>
      <xdr:row>135</xdr:row>
      <xdr:rowOff>76200</xdr:rowOff>
    </xdr:from>
    <xdr:to>
      <xdr:col>3</xdr:col>
      <xdr:colOff>733425</xdr:colOff>
      <xdr:row>140</xdr:row>
      <xdr:rowOff>28575</xdr:rowOff>
    </xdr:to>
    <xdr:sp macro="" textlink="">
      <xdr:nvSpPr>
        <xdr:cNvPr id="52352" name="Line 1033">
          <a:extLst>
            <a:ext uri="{FF2B5EF4-FFF2-40B4-BE49-F238E27FC236}">
              <a16:creationId xmlns:a16="http://schemas.microsoft.com/office/drawing/2014/main" id="{00000000-0008-0000-0200-000080CC0000}"/>
            </a:ext>
          </a:extLst>
        </xdr:cNvPr>
        <xdr:cNvSpPr>
          <a:spLocks noChangeShapeType="1"/>
        </xdr:cNvSpPr>
      </xdr:nvSpPr>
      <xdr:spPr bwMode="auto">
        <a:xfrm>
          <a:off x="2819400" y="29365575"/>
          <a:ext cx="0" cy="1152525"/>
        </a:xfrm>
        <a:prstGeom prst="line">
          <a:avLst/>
        </a:prstGeom>
        <a:noFill/>
        <a:ln w="9525">
          <a:solidFill>
            <a:srgbClr val="000000"/>
          </a:solidFill>
          <a:round/>
          <a:headEnd/>
          <a:tailEnd/>
        </a:ln>
      </xdr:spPr>
    </xdr:sp>
    <xdr:clientData/>
  </xdr:twoCellAnchor>
  <xdr:twoCellAnchor>
    <xdr:from>
      <xdr:col>2</xdr:col>
      <xdr:colOff>66675</xdr:colOff>
      <xdr:row>139</xdr:row>
      <xdr:rowOff>123825</xdr:rowOff>
    </xdr:from>
    <xdr:to>
      <xdr:col>2</xdr:col>
      <xdr:colOff>66675</xdr:colOff>
      <xdr:row>140</xdr:row>
      <xdr:rowOff>38100</xdr:rowOff>
    </xdr:to>
    <xdr:cxnSp macro="">
      <xdr:nvCxnSpPr>
        <xdr:cNvPr id="52354" name="Straight Connector 10">
          <a:extLst>
            <a:ext uri="{FF2B5EF4-FFF2-40B4-BE49-F238E27FC236}">
              <a16:creationId xmlns:a16="http://schemas.microsoft.com/office/drawing/2014/main" id="{00000000-0008-0000-0200-000082CC0000}"/>
            </a:ext>
          </a:extLst>
        </xdr:cNvPr>
        <xdr:cNvCxnSpPr>
          <a:cxnSpLocks noChangeShapeType="1"/>
        </xdr:cNvCxnSpPr>
      </xdr:nvCxnSpPr>
      <xdr:spPr bwMode="auto">
        <a:xfrm rot="5400000">
          <a:off x="1362075" y="30489525"/>
          <a:ext cx="76200" cy="0"/>
        </a:xfrm>
        <a:prstGeom prst="line">
          <a:avLst/>
        </a:prstGeom>
        <a:noFill/>
        <a:ln w="9525" algn="ctr">
          <a:solidFill>
            <a:srgbClr val="000000"/>
          </a:solidFill>
          <a:round/>
          <a:headEnd/>
          <a:tailEnd/>
        </a:ln>
      </xdr:spPr>
    </xdr:cxnSp>
    <xdr:clientData/>
  </xdr:twoCellAnchor>
  <xdr:twoCellAnchor>
    <xdr:from>
      <xdr:col>6</xdr:col>
      <xdr:colOff>619125</xdr:colOff>
      <xdr:row>139</xdr:row>
      <xdr:rowOff>95250</xdr:rowOff>
    </xdr:from>
    <xdr:to>
      <xdr:col>6</xdr:col>
      <xdr:colOff>619125</xdr:colOff>
      <xdr:row>140</xdr:row>
      <xdr:rowOff>66675</xdr:rowOff>
    </xdr:to>
    <xdr:cxnSp macro="">
      <xdr:nvCxnSpPr>
        <xdr:cNvPr id="52355" name="Straight Connector 11">
          <a:extLst>
            <a:ext uri="{FF2B5EF4-FFF2-40B4-BE49-F238E27FC236}">
              <a16:creationId xmlns:a16="http://schemas.microsoft.com/office/drawing/2014/main" id="{00000000-0008-0000-0200-000083CC0000}"/>
            </a:ext>
          </a:extLst>
        </xdr:cNvPr>
        <xdr:cNvCxnSpPr>
          <a:cxnSpLocks noChangeShapeType="1"/>
        </xdr:cNvCxnSpPr>
      </xdr:nvCxnSpPr>
      <xdr:spPr bwMode="auto">
        <a:xfrm rot="5400000">
          <a:off x="4829175" y="30489525"/>
          <a:ext cx="133350" cy="0"/>
        </a:xfrm>
        <a:prstGeom prst="line">
          <a:avLst/>
        </a:prstGeom>
        <a:noFill/>
        <a:ln w="9525" algn="ctr">
          <a:solidFill>
            <a:srgbClr val="000000"/>
          </a:solidFill>
          <a:round/>
          <a:headEnd/>
          <a:tailEnd/>
        </a:ln>
      </xdr:spPr>
    </xdr:cxnSp>
    <xdr:clientData/>
  </xdr:twoCellAnchor>
  <xdr:twoCellAnchor>
    <xdr:from>
      <xdr:col>4</xdr:col>
      <xdr:colOff>104775</xdr:colOff>
      <xdr:row>139</xdr:row>
      <xdr:rowOff>104775</xdr:rowOff>
    </xdr:from>
    <xdr:to>
      <xdr:col>4</xdr:col>
      <xdr:colOff>104775</xdr:colOff>
      <xdr:row>140</xdr:row>
      <xdr:rowOff>66675</xdr:rowOff>
    </xdr:to>
    <xdr:cxnSp macro="">
      <xdr:nvCxnSpPr>
        <xdr:cNvPr id="52356" name="Straight Connector 15">
          <a:extLst>
            <a:ext uri="{FF2B5EF4-FFF2-40B4-BE49-F238E27FC236}">
              <a16:creationId xmlns:a16="http://schemas.microsoft.com/office/drawing/2014/main" id="{00000000-0008-0000-0200-000084CC0000}"/>
            </a:ext>
          </a:extLst>
        </xdr:cNvPr>
        <xdr:cNvCxnSpPr>
          <a:cxnSpLocks noChangeShapeType="1"/>
        </xdr:cNvCxnSpPr>
      </xdr:nvCxnSpPr>
      <xdr:spPr bwMode="auto">
        <a:xfrm>
          <a:off x="3019425" y="30432375"/>
          <a:ext cx="0" cy="123825"/>
        </a:xfrm>
        <a:prstGeom prst="line">
          <a:avLst/>
        </a:prstGeom>
        <a:noFill/>
        <a:ln w="9525" algn="ctr">
          <a:solidFill>
            <a:srgbClr val="000000"/>
          </a:solidFill>
          <a:round/>
          <a:headEnd/>
          <a:tailEnd/>
        </a:ln>
      </xdr:spPr>
    </xdr:cxnSp>
    <xdr:clientData/>
  </xdr:twoCellAnchor>
  <xdr:twoCellAnchor>
    <xdr:from>
      <xdr:col>1</xdr:col>
      <xdr:colOff>200025</xdr:colOff>
      <xdr:row>135</xdr:row>
      <xdr:rowOff>133350</xdr:rowOff>
    </xdr:from>
    <xdr:to>
      <xdr:col>8</xdr:col>
      <xdr:colOff>390381</xdr:colOff>
      <xdr:row>139</xdr:row>
      <xdr:rowOff>150851</xdr:rowOff>
    </xdr:to>
    <xdr:sp macro="" textlink="">
      <xdr:nvSpPr>
        <xdr:cNvPr id="15" name="Freeform 1037">
          <a:extLst>
            <a:ext uri="{FF2B5EF4-FFF2-40B4-BE49-F238E27FC236}">
              <a16:creationId xmlns:a16="http://schemas.microsoft.com/office/drawing/2014/main" id="{00000000-0008-0000-0200-00000F000000}"/>
            </a:ext>
          </a:extLst>
        </xdr:cNvPr>
        <xdr:cNvSpPr>
          <a:spLocks/>
        </xdr:cNvSpPr>
      </xdr:nvSpPr>
      <xdr:spPr bwMode="auto">
        <a:xfrm>
          <a:off x="885825" y="29422725"/>
          <a:ext cx="4981431" cy="1055726"/>
        </a:xfrm>
        <a:custGeom>
          <a:avLst/>
          <a:gdLst>
            <a:gd name="T0" fmla="*/ 0 w 506"/>
            <a:gd name="T1" fmla="*/ 2147483647 h 113"/>
            <a:gd name="T2" fmla="*/ 2147483647 w 506"/>
            <a:gd name="T3" fmla="*/ 2147483647 h 113"/>
            <a:gd name="T4" fmla="*/ 2147483647 w 506"/>
            <a:gd name="T5" fmla="*/ 2147483647 h 113"/>
            <a:gd name="T6" fmla="*/ 2147483647 w 506"/>
            <a:gd name="T7" fmla="*/ 2147483647 h 113"/>
            <a:gd name="T8" fmla="*/ 2147483647 w 506"/>
            <a:gd name="T9" fmla="*/ 2147483647 h 113"/>
            <a:gd name="T10" fmla="*/ 2147483647 w 506"/>
            <a:gd name="T11" fmla="*/ 2147483647 h 113"/>
            <a:gd name="T12" fmla="*/ 2147483647 w 506"/>
            <a:gd name="T13" fmla="*/ 2147483647 h 113"/>
            <a:gd name="T14" fmla="*/ 2147483647 w 506"/>
            <a:gd name="T15" fmla="*/ 2147483647 h 113"/>
            <a:gd name="T16" fmla="*/ 2147483647 w 506"/>
            <a:gd name="T17" fmla="*/ 2147483647 h 113"/>
            <a:gd name="T18" fmla="*/ 2147483647 w 506"/>
            <a:gd name="T19" fmla="*/ 2147483647 h 113"/>
            <a:gd name="T20" fmla="*/ 2147483647 w 506"/>
            <a:gd name="T21" fmla="*/ 2147483647 h 113"/>
            <a:gd name="T22" fmla="*/ 2147483647 w 506"/>
            <a:gd name="T23" fmla="*/ 2147483647 h 113"/>
            <a:gd name="T24" fmla="*/ 2147483647 w 506"/>
            <a:gd name="T25" fmla="*/ 2147483647 h 113"/>
            <a:gd name="T26" fmla="*/ 2147483647 w 506"/>
            <a:gd name="T27" fmla="*/ 2147483647 h 113"/>
            <a:gd name="T28" fmla="*/ 2147483647 w 506"/>
            <a:gd name="T29" fmla="*/ 2147483647 h 113"/>
            <a:gd name="T30" fmla="*/ 2147483647 w 506"/>
            <a:gd name="T31" fmla="*/ 2147483647 h 113"/>
            <a:gd name="T32" fmla="*/ 2147483647 w 506"/>
            <a:gd name="T33" fmla="*/ 2147483647 h 113"/>
            <a:gd name="T34" fmla="*/ 2147483647 w 506"/>
            <a:gd name="T35" fmla="*/ 2147483647 h 113"/>
            <a:gd name="T36" fmla="*/ 2147483647 w 506"/>
            <a:gd name="T37" fmla="*/ 2147483647 h 113"/>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w 506"/>
            <a:gd name="T58" fmla="*/ 0 h 113"/>
            <a:gd name="T59" fmla="*/ 506 w 506"/>
            <a:gd name="T60" fmla="*/ 113 h 113"/>
            <a:gd name="connsiteX0" fmla="*/ 0 w 10000"/>
            <a:gd name="connsiteY0" fmla="*/ 9868 h 10045"/>
            <a:gd name="connsiteX1" fmla="*/ 850 w 10000"/>
            <a:gd name="connsiteY1" fmla="*/ 9691 h 10045"/>
            <a:gd name="connsiteX2" fmla="*/ 1759 w 10000"/>
            <a:gd name="connsiteY2" fmla="*/ 7833 h 10045"/>
            <a:gd name="connsiteX3" fmla="*/ 2391 w 10000"/>
            <a:gd name="connsiteY3" fmla="*/ 4912 h 10045"/>
            <a:gd name="connsiteX4" fmla="*/ 2668 w 10000"/>
            <a:gd name="connsiteY4" fmla="*/ 3054 h 10045"/>
            <a:gd name="connsiteX5" fmla="*/ 3024 w 10000"/>
            <a:gd name="connsiteY5" fmla="*/ 1903 h 10045"/>
            <a:gd name="connsiteX6" fmla="*/ 3478 w 10000"/>
            <a:gd name="connsiteY6" fmla="*/ 930 h 10045"/>
            <a:gd name="connsiteX7" fmla="*/ 3841 w 10000"/>
            <a:gd name="connsiteY7" fmla="*/ 218 h 10045"/>
            <a:gd name="connsiteX8" fmla="*/ 4269 w 10000"/>
            <a:gd name="connsiteY8" fmla="*/ 222 h 10045"/>
            <a:gd name="connsiteX9" fmla="*/ 5178 w 10000"/>
            <a:gd name="connsiteY9" fmla="*/ 1549 h 10045"/>
            <a:gd name="connsiteX10" fmla="*/ 5474 w 10000"/>
            <a:gd name="connsiteY10" fmla="*/ 2788 h 10045"/>
            <a:gd name="connsiteX11" fmla="*/ 5810 w 10000"/>
            <a:gd name="connsiteY11" fmla="*/ 3850 h 10045"/>
            <a:gd name="connsiteX12" fmla="*/ 6186 w 10000"/>
            <a:gd name="connsiteY12" fmla="*/ 5001 h 10045"/>
            <a:gd name="connsiteX13" fmla="*/ 6601 w 10000"/>
            <a:gd name="connsiteY13" fmla="*/ 5974 h 10045"/>
            <a:gd name="connsiteX14" fmla="*/ 7233 w 10000"/>
            <a:gd name="connsiteY14" fmla="*/ 7567 h 10045"/>
            <a:gd name="connsiteX15" fmla="*/ 7846 w 10000"/>
            <a:gd name="connsiteY15" fmla="*/ 8452 h 10045"/>
            <a:gd name="connsiteX16" fmla="*/ 8458 w 10000"/>
            <a:gd name="connsiteY16" fmla="*/ 9072 h 10045"/>
            <a:gd name="connsiteX17" fmla="*/ 9091 w 10000"/>
            <a:gd name="connsiteY17" fmla="*/ 9603 h 10045"/>
            <a:gd name="connsiteX18" fmla="*/ 10000 w 10000"/>
            <a:gd name="connsiteY18" fmla="*/ 9868 h 10045"/>
            <a:gd name="connsiteX0" fmla="*/ 0 w 10000"/>
            <a:gd name="connsiteY0" fmla="*/ 9868 h 10045"/>
            <a:gd name="connsiteX1" fmla="*/ 850 w 10000"/>
            <a:gd name="connsiteY1" fmla="*/ 9691 h 10045"/>
            <a:gd name="connsiteX2" fmla="*/ 1759 w 10000"/>
            <a:gd name="connsiteY2" fmla="*/ 7833 h 10045"/>
            <a:gd name="connsiteX3" fmla="*/ 2391 w 10000"/>
            <a:gd name="connsiteY3" fmla="*/ 4912 h 10045"/>
            <a:gd name="connsiteX4" fmla="*/ 2668 w 10000"/>
            <a:gd name="connsiteY4" fmla="*/ 3054 h 10045"/>
            <a:gd name="connsiteX5" fmla="*/ 3024 w 10000"/>
            <a:gd name="connsiteY5" fmla="*/ 1903 h 10045"/>
            <a:gd name="connsiteX6" fmla="*/ 3427 w 10000"/>
            <a:gd name="connsiteY6" fmla="*/ 692 h 10045"/>
            <a:gd name="connsiteX7" fmla="*/ 3841 w 10000"/>
            <a:gd name="connsiteY7" fmla="*/ 218 h 10045"/>
            <a:gd name="connsiteX8" fmla="*/ 4269 w 10000"/>
            <a:gd name="connsiteY8" fmla="*/ 222 h 10045"/>
            <a:gd name="connsiteX9" fmla="*/ 5178 w 10000"/>
            <a:gd name="connsiteY9" fmla="*/ 1549 h 10045"/>
            <a:gd name="connsiteX10" fmla="*/ 5474 w 10000"/>
            <a:gd name="connsiteY10" fmla="*/ 2788 h 10045"/>
            <a:gd name="connsiteX11" fmla="*/ 5810 w 10000"/>
            <a:gd name="connsiteY11" fmla="*/ 3850 h 10045"/>
            <a:gd name="connsiteX12" fmla="*/ 6186 w 10000"/>
            <a:gd name="connsiteY12" fmla="*/ 5001 h 10045"/>
            <a:gd name="connsiteX13" fmla="*/ 6601 w 10000"/>
            <a:gd name="connsiteY13" fmla="*/ 5974 h 10045"/>
            <a:gd name="connsiteX14" fmla="*/ 7233 w 10000"/>
            <a:gd name="connsiteY14" fmla="*/ 7567 h 10045"/>
            <a:gd name="connsiteX15" fmla="*/ 7846 w 10000"/>
            <a:gd name="connsiteY15" fmla="*/ 8452 h 10045"/>
            <a:gd name="connsiteX16" fmla="*/ 8458 w 10000"/>
            <a:gd name="connsiteY16" fmla="*/ 9072 h 10045"/>
            <a:gd name="connsiteX17" fmla="*/ 9091 w 10000"/>
            <a:gd name="connsiteY17" fmla="*/ 9603 h 10045"/>
            <a:gd name="connsiteX18" fmla="*/ 10000 w 10000"/>
            <a:gd name="connsiteY18" fmla="*/ 9868 h 10045"/>
            <a:gd name="connsiteX0" fmla="*/ 0 w 10000"/>
            <a:gd name="connsiteY0" fmla="*/ 9868 h 10045"/>
            <a:gd name="connsiteX1" fmla="*/ 850 w 10000"/>
            <a:gd name="connsiteY1" fmla="*/ 9691 h 10045"/>
            <a:gd name="connsiteX2" fmla="*/ 1759 w 10000"/>
            <a:gd name="connsiteY2" fmla="*/ 7833 h 10045"/>
            <a:gd name="connsiteX3" fmla="*/ 2391 w 10000"/>
            <a:gd name="connsiteY3" fmla="*/ 4912 h 10045"/>
            <a:gd name="connsiteX4" fmla="*/ 2693 w 10000"/>
            <a:gd name="connsiteY4" fmla="*/ 3233 h 10045"/>
            <a:gd name="connsiteX5" fmla="*/ 3024 w 10000"/>
            <a:gd name="connsiteY5" fmla="*/ 1903 h 10045"/>
            <a:gd name="connsiteX6" fmla="*/ 3427 w 10000"/>
            <a:gd name="connsiteY6" fmla="*/ 692 h 10045"/>
            <a:gd name="connsiteX7" fmla="*/ 3841 w 10000"/>
            <a:gd name="connsiteY7" fmla="*/ 218 h 10045"/>
            <a:gd name="connsiteX8" fmla="*/ 4269 w 10000"/>
            <a:gd name="connsiteY8" fmla="*/ 222 h 10045"/>
            <a:gd name="connsiteX9" fmla="*/ 5178 w 10000"/>
            <a:gd name="connsiteY9" fmla="*/ 1549 h 10045"/>
            <a:gd name="connsiteX10" fmla="*/ 5474 w 10000"/>
            <a:gd name="connsiteY10" fmla="*/ 2788 h 10045"/>
            <a:gd name="connsiteX11" fmla="*/ 5810 w 10000"/>
            <a:gd name="connsiteY11" fmla="*/ 3850 h 10045"/>
            <a:gd name="connsiteX12" fmla="*/ 6186 w 10000"/>
            <a:gd name="connsiteY12" fmla="*/ 5001 h 10045"/>
            <a:gd name="connsiteX13" fmla="*/ 6601 w 10000"/>
            <a:gd name="connsiteY13" fmla="*/ 5974 h 10045"/>
            <a:gd name="connsiteX14" fmla="*/ 7233 w 10000"/>
            <a:gd name="connsiteY14" fmla="*/ 7567 h 10045"/>
            <a:gd name="connsiteX15" fmla="*/ 7846 w 10000"/>
            <a:gd name="connsiteY15" fmla="*/ 8452 h 10045"/>
            <a:gd name="connsiteX16" fmla="*/ 8458 w 10000"/>
            <a:gd name="connsiteY16" fmla="*/ 9072 h 10045"/>
            <a:gd name="connsiteX17" fmla="*/ 9091 w 10000"/>
            <a:gd name="connsiteY17" fmla="*/ 9603 h 10045"/>
            <a:gd name="connsiteX18" fmla="*/ 10000 w 10000"/>
            <a:gd name="connsiteY18" fmla="*/ 9868 h 10045"/>
            <a:gd name="connsiteX0" fmla="*/ 0 w 10076"/>
            <a:gd name="connsiteY0" fmla="*/ 9928 h 10040"/>
            <a:gd name="connsiteX1" fmla="*/ 926 w 10076"/>
            <a:gd name="connsiteY1" fmla="*/ 9691 h 10040"/>
            <a:gd name="connsiteX2" fmla="*/ 1835 w 10076"/>
            <a:gd name="connsiteY2" fmla="*/ 7833 h 10040"/>
            <a:gd name="connsiteX3" fmla="*/ 2467 w 10076"/>
            <a:gd name="connsiteY3" fmla="*/ 4912 h 10040"/>
            <a:gd name="connsiteX4" fmla="*/ 2769 w 10076"/>
            <a:gd name="connsiteY4" fmla="*/ 3233 h 10040"/>
            <a:gd name="connsiteX5" fmla="*/ 3100 w 10076"/>
            <a:gd name="connsiteY5" fmla="*/ 1903 h 10040"/>
            <a:gd name="connsiteX6" fmla="*/ 3503 w 10076"/>
            <a:gd name="connsiteY6" fmla="*/ 692 h 10040"/>
            <a:gd name="connsiteX7" fmla="*/ 3917 w 10076"/>
            <a:gd name="connsiteY7" fmla="*/ 218 h 10040"/>
            <a:gd name="connsiteX8" fmla="*/ 4345 w 10076"/>
            <a:gd name="connsiteY8" fmla="*/ 222 h 10040"/>
            <a:gd name="connsiteX9" fmla="*/ 5254 w 10076"/>
            <a:gd name="connsiteY9" fmla="*/ 1549 h 10040"/>
            <a:gd name="connsiteX10" fmla="*/ 5550 w 10076"/>
            <a:gd name="connsiteY10" fmla="*/ 2788 h 10040"/>
            <a:gd name="connsiteX11" fmla="*/ 5886 w 10076"/>
            <a:gd name="connsiteY11" fmla="*/ 3850 h 10040"/>
            <a:gd name="connsiteX12" fmla="*/ 6262 w 10076"/>
            <a:gd name="connsiteY12" fmla="*/ 5001 h 10040"/>
            <a:gd name="connsiteX13" fmla="*/ 6677 w 10076"/>
            <a:gd name="connsiteY13" fmla="*/ 5974 h 10040"/>
            <a:gd name="connsiteX14" fmla="*/ 7309 w 10076"/>
            <a:gd name="connsiteY14" fmla="*/ 7567 h 10040"/>
            <a:gd name="connsiteX15" fmla="*/ 7922 w 10076"/>
            <a:gd name="connsiteY15" fmla="*/ 8452 h 10040"/>
            <a:gd name="connsiteX16" fmla="*/ 8534 w 10076"/>
            <a:gd name="connsiteY16" fmla="*/ 9072 h 10040"/>
            <a:gd name="connsiteX17" fmla="*/ 9167 w 10076"/>
            <a:gd name="connsiteY17" fmla="*/ 9603 h 10040"/>
            <a:gd name="connsiteX18" fmla="*/ 10076 w 10076"/>
            <a:gd name="connsiteY18" fmla="*/ 9868 h 1004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503 w 10076"/>
            <a:gd name="connsiteY6" fmla="*/ 652 h 10000"/>
            <a:gd name="connsiteX7" fmla="*/ 3917 w 10076"/>
            <a:gd name="connsiteY7" fmla="*/ 178 h 10000"/>
            <a:gd name="connsiteX8" fmla="*/ 4345 w 10076"/>
            <a:gd name="connsiteY8" fmla="*/ 182 h 10000"/>
            <a:gd name="connsiteX9" fmla="*/ 5000 w 10076"/>
            <a:gd name="connsiteY9" fmla="*/ 1271 h 10000"/>
            <a:gd name="connsiteX10" fmla="*/ 5550 w 10076"/>
            <a:gd name="connsiteY10" fmla="*/ 2748 h 10000"/>
            <a:gd name="connsiteX11" fmla="*/ 5886 w 10076"/>
            <a:gd name="connsiteY11" fmla="*/ 3810 h 10000"/>
            <a:gd name="connsiteX12" fmla="*/ 6262 w 10076"/>
            <a:gd name="connsiteY12" fmla="*/ 4961 h 10000"/>
            <a:gd name="connsiteX13" fmla="*/ 6677 w 10076"/>
            <a:gd name="connsiteY13" fmla="*/ 5934 h 10000"/>
            <a:gd name="connsiteX14" fmla="*/ 7309 w 10076"/>
            <a:gd name="connsiteY14" fmla="*/ 7527 h 10000"/>
            <a:gd name="connsiteX15" fmla="*/ 7922 w 10076"/>
            <a:gd name="connsiteY15" fmla="*/ 8412 h 10000"/>
            <a:gd name="connsiteX16" fmla="*/ 8534 w 10076"/>
            <a:gd name="connsiteY16" fmla="*/ 9032 h 10000"/>
            <a:gd name="connsiteX17" fmla="*/ 9167 w 10076"/>
            <a:gd name="connsiteY17" fmla="*/ 9563 h 10000"/>
            <a:gd name="connsiteX18" fmla="*/ 10076 w 10076"/>
            <a:gd name="connsiteY18"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503 w 10076"/>
            <a:gd name="connsiteY6" fmla="*/ 652 h 10000"/>
            <a:gd name="connsiteX7" fmla="*/ 3917 w 10076"/>
            <a:gd name="connsiteY7" fmla="*/ 178 h 10000"/>
            <a:gd name="connsiteX8" fmla="*/ 4345 w 10076"/>
            <a:gd name="connsiteY8" fmla="*/ 182 h 10000"/>
            <a:gd name="connsiteX9" fmla="*/ 5000 w 10076"/>
            <a:gd name="connsiteY9" fmla="*/ 1271 h 10000"/>
            <a:gd name="connsiteX10" fmla="*/ 5550 w 10076"/>
            <a:gd name="connsiteY10" fmla="*/ 2748 h 10000"/>
            <a:gd name="connsiteX11" fmla="*/ 5886 w 10076"/>
            <a:gd name="connsiteY11" fmla="*/ 3810 h 10000"/>
            <a:gd name="connsiteX12" fmla="*/ 6262 w 10076"/>
            <a:gd name="connsiteY12" fmla="*/ 4961 h 10000"/>
            <a:gd name="connsiteX13" fmla="*/ 6652 w 10076"/>
            <a:gd name="connsiteY13" fmla="*/ 6172 h 10000"/>
            <a:gd name="connsiteX14" fmla="*/ 7309 w 10076"/>
            <a:gd name="connsiteY14" fmla="*/ 7527 h 10000"/>
            <a:gd name="connsiteX15" fmla="*/ 7922 w 10076"/>
            <a:gd name="connsiteY15" fmla="*/ 8412 h 10000"/>
            <a:gd name="connsiteX16" fmla="*/ 8534 w 10076"/>
            <a:gd name="connsiteY16" fmla="*/ 9032 h 10000"/>
            <a:gd name="connsiteX17" fmla="*/ 9167 w 10076"/>
            <a:gd name="connsiteY17" fmla="*/ 9563 h 10000"/>
            <a:gd name="connsiteX18" fmla="*/ 10076 w 10076"/>
            <a:gd name="connsiteY18"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62 w 10076"/>
            <a:gd name="connsiteY13" fmla="*/ 4961 h 10000"/>
            <a:gd name="connsiteX14" fmla="*/ 6652 w 10076"/>
            <a:gd name="connsiteY14" fmla="*/ 6172 h 10000"/>
            <a:gd name="connsiteX15" fmla="*/ 7309 w 10076"/>
            <a:gd name="connsiteY15" fmla="*/ 7527 h 10000"/>
            <a:gd name="connsiteX16" fmla="*/ 7922 w 10076"/>
            <a:gd name="connsiteY16" fmla="*/ 8412 h 10000"/>
            <a:gd name="connsiteX17" fmla="*/ 8534 w 10076"/>
            <a:gd name="connsiteY17" fmla="*/ 9032 h 10000"/>
            <a:gd name="connsiteX18" fmla="*/ 9167 w 10076"/>
            <a:gd name="connsiteY18" fmla="*/ 9563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62 w 10076"/>
            <a:gd name="connsiteY13" fmla="*/ 4961 h 10000"/>
            <a:gd name="connsiteX14" fmla="*/ 6652 w 10076"/>
            <a:gd name="connsiteY14" fmla="*/ 6172 h 10000"/>
            <a:gd name="connsiteX15" fmla="*/ 7309 w 10076"/>
            <a:gd name="connsiteY15" fmla="*/ 7527 h 10000"/>
            <a:gd name="connsiteX16" fmla="*/ 7922 w 10076"/>
            <a:gd name="connsiteY16" fmla="*/ 8412 h 10000"/>
            <a:gd name="connsiteX17" fmla="*/ 8521 w 10076"/>
            <a:gd name="connsiteY17" fmla="*/ 9211 h 10000"/>
            <a:gd name="connsiteX18" fmla="*/ 9167 w 10076"/>
            <a:gd name="connsiteY18" fmla="*/ 9563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62 w 10076"/>
            <a:gd name="connsiteY13" fmla="*/ 4961 h 10000"/>
            <a:gd name="connsiteX14" fmla="*/ 6652 w 10076"/>
            <a:gd name="connsiteY14" fmla="*/ 6172 h 10000"/>
            <a:gd name="connsiteX15" fmla="*/ 7309 w 10076"/>
            <a:gd name="connsiteY15" fmla="*/ 7527 h 10000"/>
            <a:gd name="connsiteX16" fmla="*/ 7909 w 10076"/>
            <a:gd name="connsiteY16" fmla="*/ 8591 h 10000"/>
            <a:gd name="connsiteX17" fmla="*/ 8521 w 10076"/>
            <a:gd name="connsiteY17" fmla="*/ 9211 h 10000"/>
            <a:gd name="connsiteX18" fmla="*/ 9167 w 10076"/>
            <a:gd name="connsiteY18" fmla="*/ 9563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62 w 10076"/>
            <a:gd name="connsiteY13" fmla="*/ 4961 h 10000"/>
            <a:gd name="connsiteX14" fmla="*/ 6652 w 10076"/>
            <a:gd name="connsiteY14" fmla="*/ 6172 h 10000"/>
            <a:gd name="connsiteX15" fmla="*/ 7309 w 10076"/>
            <a:gd name="connsiteY15" fmla="*/ 7527 h 10000"/>
            <a:gd name="connsiteX16" fmla="*/ 7909 w 10076"/>
            <a:gd name="connsiteY16" fmla="*/ 8591 h 10000"/>
            <a:gd name="connsiteX17" fmla="*/ 8521 w 10076"/>
            <a:gd name="connsiteY17" fmla="*/ 9211 h 10000"/>
            <a:gd name="connsiteX18" fmla="*/ 9147 w 10076"/>
            <a:gd name="connsiteY18" fmla="*/ 9706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69 w 10076"/>
            <a:gd name="connsiteY4" fmla="*/ 3193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32 w 10076"/>
            <a:gd name="connsiteY13" fmla="*/ 5056 h 10000"/>
            <a:gd name="connsiteX14" fmla="*/ 6652 w 10076"/>
            <a:gd name="connsiteY14" fmla="*/ 6172 h 10000"/>
            <a:gd name="connsiteX15" fmla="*/ 7309 w 10076"/>
            <a:gd name="connsiteY15" fmla="*/ 7527 h 10000"/>
            <a:gd name="connsiteX16" fmla="*/ 7909 w 10076"/>
            <a:gd name="connsiteY16" fmla="*/ 8591 h 10000"/>
            <a:gd name="connsiteX17" fmla="*/ 8521 w 10076"/>
            <a:gd name="connsiteY17" fmla="*/ 9211 h 10000"/>
            <a:gd name="connsiteX18" fmla="*/ 9147 w 10076"/>
            <a:gd name="connsiteY18" fmla="*/ 9706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67 w 10076"/>
            <a:gd name="connsiteY3" fmla="*/ 4872 h 10000"/>
            <a:gd name="connsiteX4" fmla="*/ 2789 w 10076"/>
            <a:gd name="connsiteY4" fmla="*/ 3336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32 w 10076"/>
            <a:gd name="connsiteY13" fmla="*/ 5056 h 10000"/>
            <a:gd name="connsiteX14" fmla="*/ 6652 w 10076"/>
            <a:gd name="connsiteY14" fmla="*/ 6172 h 10000"/>
            <a:gd name="connsiteX15" fmla="*/ 7309 w 10076"/>
            <a:gd name="connsiteY15" fmla="*/ 7527 h 10000"/>
            <a:gd name="connsiteX16" fmla="*/ 7909 w 10076"/>
            <a:gd name="connsiteY16" fmla="*/ 8591 h 10000"/>
            <a:gd name="connsiteX17" fmla="*/ 8521 w 10076"/>
            <a:gd name="connsiteY17" fmla="*/ 9211 h 10000"/>
            <a:gd name="connsiteX18" fmla="*/ 9147 w 10076"/>
            <a:gd name="connsiteY18" fmla="*/ 9706 h 10000"/>
            <a:gd name="connsiteX19" fmla="*/ 10076 w 10076"/>
            <a:gd name="connsiteY19" fmla="*/ 9828 h 10000"/>
            <a:gd name="connsiteX0" fmla="*/ 0 w 10076"/>
            <a:gd name="connsiteY0" fmla="*/ 9888 h 10000"/>
            <a:gd name="connsiteX1" fmla="*/ 926 w 10076"/>
            <a:gd name="connsiteY1" fmla="*/ 9651 h 10000"/>
            <a:gd name="connsiteX2" fmla="*/ 1835 w 10076"/>
            <a:gd name="connsiteY2" fmla="*/ 7793 h 10000"/>
            <a:gd name="connsiteX3" fmla="*/ 2457 w 10076"/>
            <a:gd name="connsiteY3" fmla="*/ 5063 h 10000"/>
            <a:gd name="connsiteX4" fmla="*/ 2789 w 10076"/>
            <a:gd name="connsiteY4" fmla="*/ 3336 h 10000"/>
            <a:gd name="connsiteX5" fmla="*/ 3100 w 10076"/>
            <a:gd name="connsiteY5" fmla="*/ 1863 h 10000"/>
            <a:gd name="connsiteX6" fmla="*/ 3261 w 10076"/>
            <a:gd name="connsiteY6" fmla="*/ 1243 h 10000"/>
            <a:gd name="connsiteX7" fmla="*/ 3503 w 10076"/>
            <a:gd name="connsiteY7" fmla="*/ 652 h 10000"/>
            <a:gd name="connsiteX8" fmla="*/ 3917 w 10076"/>
            <a:gd name="connsiteY8" fmla="*/ 178 h 10000"/>
            <a:gd name="connsiteX9" fmla="*/ 4345 w 10076"/>
            <a:gd name="connsiteY9" fmla="*/ 182 h 10000"/>
            <a:gd name="connsiteX10" fmla="*/ 5000 w 10076"/>
            <a:gd name="connsiteY10" fmla="*/ 1271 h 10000"/>
            <a:gd name="connsiteX11" fmla="*/ 5550 w 10076"/>
            <a:gd name="connsiteY11" fmla="*/ 2748 h 10000"/>
            <a:gd name="connsiteX12" fmla="*/ 5886 w 10076"/>
            <a:gd name="connsiteY12" fmla="*/ 3810 h 10000"/>
            <a:gd name="connsiteX13" fmla="*/ 6232 w 10076"/>
            <a:gd name="connsiteY13" fmla="*/ 5056 h 10000"/>
            <a:gd name="connsiteX14" fmla="*/ 6652 w 10076"/>
            <a:gd name="connsiteY14" fmla="*/ 6172 h 10000"/>
            <a:gd name="connsiteX15" fmla="*/ 7309 w 10076"/>
            <a:gd name="connsiteY15" fmla="*/ 7527 h 10000"/>
            <a:gd name="connsiteX16" fmla="*/ 7909 w 10076"/>
            <a:gd name="connsiteY16" fmla="*/ 8591 h 10000"/>
            <a:gd name="connsiteX17" fmla="*/ 8521 w 10076"/>
            <a:gd name="connsiteY17" fmla="*/ 9211 h 10000"/>
            <a:gd name="connsiteX18" fmla="*/ 9147 w 10076"/>
            <a:gd name="connsiteY18" fmla="*/ 9706 h 10000"/>
            <a:gd name="connsiteX19" fmla="*/ 10076 w 10076"/>
            <a:gd name="connsiteY19" fmla="*/ 9828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Lst>
          <a:rect l="l" t="t" r="r" b="b"/>
          <a:pathLst>
            <a:path w="10076" h="10000">
              <a:moveTo>
                <a:pt x="0" y="9888"/>
              </a:moveTo>
              <a:cubicBezTo>
                <a:pt x="277" y="9977"/>
                <a:pt x="620" y="10000"/>
                <a:pt x="926" y="9651"/>
              </a:cubicBezTo>
              <a:cubicBezTo>
                <a:pt x="1232" y="9302"/>
                <a:pt x="1580" y="8558"/>
                <a:pt x="1835" y="7793"/>
              </a:cubicBezTo>
              <a:cubicBezTo>
                <a:pt x="2090" y="7028"/>
                <a:pt x="2298" y="5806"/>
                <a:pt x="2457" y="5063"/>
              </a:cubicBezTo>
              <a:cubicBezTo>
                <a:pt x="2616" y="4320"/>
                <a:pt x="2682" y="3869"/>
                <a:pt x="2789" y="3336"/>
              </a:cubicBezTo>
              <a:cubicBezTo>
                <a:pt x="2896" y="2803"/>
                <a:pt x="3021" y="2212"/>
                <a:pt x="3100" y="1863"/>
              </a:cubicBezTo>
              <a:cubicBezTo>
                <a:pt x="3179" y="1514"/>
                <a:pt x="3194" y="1445"/>
                <a:pt x="3261" y="1243"/>
              </a:cubicBezTo>
              <a:cubicBezTo>
                <a:pt x="3328" y="1041"/>
                <a:pt x="3394" y="830"/>
                <a:pt x="3503" y="652"/>
              </a:cubicBezTo>
              <a:cubicBezTo>
                <a:pt x="3612" y="474"/>
                <a:pt x="3777" y="256"/>
                <a:pt x="3917" y="178"/>
              </a:cubicBezTo>
              <a:cubicBezTo>
                <a:pt x="4057" y="100"/>
                <a:pt x="4165" y="0"/>
                <a:pt x="4345" y="182"/>
              </a:cubicBezTo>
              <a:cubicBezTo>
                <a:pt x="4526" y="364"/>
                <a:pt x="4802" y="829"/>
                <a:pt x="5000" y="1271"/>
              </a:cubicBezTo>
              <a:cubicBezTo>
                <a:pt x="5197" y="1714"/>
                <a:pt x="5402" y="2325"/>
                <a:pt x="5550" y="2748"/>
              </a:cubicBezTo>
              <a:cubicBezTo>
                <a:pt x="5698" y="3171"/>
                <a:pt x="5768" y="3456"/>
                <a:pt x="5886" y="3810"/>
              </a:cubicBezTo>
              <a:cubicBezTo>
                <a:pt x="6005" y="4164"/>
                <a:pt x="6104" y="4662"/>
                <a:pt x="6232" y="5056"/>
              </a:cubicBezTo>
              <a:cubicBezTo>
                <a:pt x="6360" y="5450"/>
                <a:pt x="6473" y="5760"/>
                <a:pt x="6652" y="6172"/>
              </a:cubicBezTo>
              <a:cubicBezTo>
                <a:pt x="6832" y="6584"/>
                <a:pt x="7099" y="7124"/>
                <a:pt x="7309" y="7527"/>
              </a:cubicBezTo>
              <a:cubicBezTo>
                <a:pt x="7519" y="7930"/>
                <a:pt x="7707" y="8310"/>
                <a:pt x="7909" y="8591"/>
              </a:cubicBezTo>
              <a:cubicBezTo>
                <a:pt x="8111" y="8872"/>
                <a:pt x="8315" y="9025"/>
                <a:pt x="8521" y="9211"/>
              </a:cubicBezTo>
              <a:cubicBezTo>
                <a:pt x="8727" y="9397"/>
                <a:pt x="8888" y="9603"/>
                <a:pt x="9147" y="9706"/>
              </a:cubicBezTo>
              <a:cubicBezTo>
                <a:pt x="9406" y="9809"/>
                <a:pt x="9938" y="9828"/>
                <a:pt x="10076" y="9828"/>
              </a:cubicBezTo>
            </a:path>
          </a:pathLst>
        </a:custGeom>
        <a:noFill/>
        <a:ln w="38100">
          <a:solidFill>
            <a:srgbClr val="000000"/>
          </a:solidFill>
          <a:round/>
          <a:headEnd/>
          <a:tailEnd/>
        </a:ln>
      </xdr:spPr>
    </xdr:sp>
    <xdr:clientData/>
  </xdr:twoCellAnchor>
</xdr:wsDr>
</file>

<file path=xl/drawings/drawing3.xml><?xml version="1.0" encoding="utf-8"?>
<c:userShapes xmlns:c="http://schemas.openxmlformats.org/drawingml/2006/chart">
  <cdr:relSizeAnchor xmlns:cdr="http://schemas.openxmlformats.org/drawingml/2006/chartDrawing">
    <cdr:from>
      <cdr:x>0.82159</cdr:x>
      <cdr:y>0.05919</cdr:y>
    </cdr:from>
    <cdr:to>
      <cdr:x>0.89917</cdr:x>
      <cdr:y>0.1208</cdr:y>
    </cdr:to>
    <cdr:sp macro="" textlink="">
      <cdr:nvSpPr>
        <cdr:cNvPr id="2" name="TextBox 1"/>
        <cdr:cNvSpPr txBox="1"/>
      </cdr:nvSpPr>
      <cdr:spPr>
        <a:xfrm xmlns:a="http://schemas.openxmlformats.org/drawingml/2006/main">
          <a:off x="4961488" y="227781"/>
          <a:ext cx="468445" cy="23707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100"/>
            <a:t>Price</a:t>
          </a:r>
        </a:p>
      </cdr:txBody>
    </cdr:sp>
  </cdr:relSizeAnchor>
  <cdr:relSizeAnchor xmlns:cdr="http://schemas.openxmlformats.org/drawingml/2006/chartDrawing">
    <cdr:from>
      <cdr:x>0.66859</cdr:x>
      <cdr:y>0.28949</cdr:y>
    </cdr:from>
    <cdr:to>
      <cdr:x>0.77054</cdr:x>
      <cdr:y>0.30146</cdr:y>
    </cdr:to>
    <cdr:sp macro="" textlink="">
      <cdr:nvSpPr>
        <cdr:cNvPr id="3" name="TextBox 2"/>
        <cdr:cNvSpPr txBox="1"/>
      </cdr:nvSpPr>
      <cdr:spPr>
        <a:xfrm xmlns:a="http://schemas.openxmlformats.org/drawingml/2006/main">
          <a:off x="3333750" y="1125856"/>
          <a:ext cx="638175" cy="45719"/>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US"/>
        </a:p>
      </cdr:txBody>
    </cdr:sp>
  </cdr:relSizeAnchor>
  <cdr:relSizeAnchor xmlns:cdr="http://schemas.openxmlformats.org/drawingml/2006/chartDrawing">
    <cdr:from>
      <cdr:x>0.7202</cdr:x>
      <cdr:y>0.48267</cdr:y>
    </cdr:from>
    <cdr:to>
      <cdr:x>0.85719</cdr:x>
      <cdr:y>0.5435</cdr:y>
    </cdr:to>
    <cdr:sp macro="" textlink="">
      <cdr:nvSpPr>
        <cdr:cNvPr id="165891" name="TextBox 3"/>
        <cdr:cNvSpPr txBox="1">
          <a:spLocks xmlns:a="http://schemas.openxmlformats.org/drawingml/2006/main" noChangeArrowheads="1"/>
        </cdr:cNvSpPr>
      </cdr:nvSpPr>
      <cdr:spPr bwMode="auto">
        <a:xfrm xmlns:a="http://schemas.openxmlformats.org/drawingml/2006/main">
          <a:off x="4383509" y="1857366"/>
          <a:ext cx="833786" cy="2340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defRPr sz="1000"/>
          </a:pPr>
          <a:r>
            <a:rPr lang="en-US" sz="1100" b="1" i="0" strike="noStrike">
              <a:solidFill>
                <a:srgbClr val="008000"/>
              </a:solidFill>
              <a:latin typeface="Calibri"/>
            </a:rPr>
            <a:t>Equipment</a:t>
          </a:r>
        </a:p>
      </cdr:txBody>
    </cdr:sp>
  </cdr:relSizeAnchor>
  <cdr:relSizeAnchor xmlns:cdr="http://schemas.openxmlformats.org/drawingml/2006/chartDrawing">
    <cdr:from>
      <cdr:x>0.87327</cdr:x>
      <cdr:y>0.42004</cdr:y>
    </cdr:from>
    <cdr:to>
      <cdr:x>0.97256</cdr:x>
      <cdr:y>0.49588</cdr:y>
    </cdr:to>
    <cdr:sp macro="" textlink="">
      <cdr:nvSpPr>
        <cdr:cNvPr id="165892" name="TextBox 4"/>
        <cdr:cNvSpPr txBox="1">
          <a:spLocks xmlns:a="http://schemas.openxmlformats.org/drawingml/2006/main" noChangeArrowheads="1"/>
        </cdr:cNvSpPr>
      </cdr:nvSpPr>
      <cdr:spPr bwMode="auto">
        <a:xfrm xmlns:a="http://schemas.openxmlformats.org/drawingml/2006/main">
          <a:off x="5273529" y="1616350"/>
          <a:ext cx="599598" cy="2918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defRPr sz="1000"/>
          </a:pPr>
          <a:r>
            <a:rPr lang="en-US" sz="1100" b="1" i="0" strike="noStrike">
              <a:solidFill>
                <a:srgbClr val="FF0000"/>
              </a:solidFill>
              <a:latin typeface="Calibri"/>
            </a:rPr>
            <a:t>WACC</a:t>
          </a:r>
        </a:p>
      </cdr:txBody>
    </cdr:sp>
  </cdr:relSizeAnchor>
  <cdr:relSizeAnchor xmlns:cdr="http://schemas.openxmlformats.org/drawingml/2006/chartDrawing">
    <cdr:from>
      <cdr:x>0.32033</cdr:x>
      <cdr:y>0.53667</cdr:y>
    </cdr:from>
    <cdr:to>
      <cdr:x>0.3931</cdr:x>
      <cdr:y>0.60806</cdr:y>
    </cdr:to>
    <cdr:sp macro="" textlink="">
      <cdr:nvSpPr>
        <cdr:cNvPr id="6" name="TextBox 5"/>
        <cdr:cNvSpPr txBox="1"/>
      </cdr:nvSpPr>
      <cdr:spPr>
        <a:xfrm xmlns:a="http://schemas.openxmlformats.org/drawingml/2006/main">
          <a:off x="1152525" y="2085975"/>
          <a:ext cx="447675" cy="27622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US"/>
        </a:p>
      </cdr:txBody>
    </cdr:sp>
  </cdr:relSizeAnchor>
  <cdr:relSizeAnchor xmlns:cdr="http://schemas.openxmlformats.org/drawingml/2006/chartDrawing">
    <cdr:from>
      <cdr:x>0.88767</cdr:x>
      <cdr:y>0.26404</cdr:y>
    </cdr:from>
    <cdr:to>
      <cdr:x>0.97826</cdr:x>
      <cdr:y>0.32517</cdr:y>
    </cdr:to>
    <cdr:sp macro="" textlink="">
      <cdr:nvSpPr>
        <cdr:cNvPr id="7" name="TextBox 6"/>
        <cdr:cNvSpPr txBox="1"/>
      </cdr:nvSpPr>
      <cdr:spPr>
        <a:xfrm xmlns:a="http://schemas.openxmlformats.org/drawingml/2006/main">
          <a:off x="5833995" y="1023609"/>
          <a:ext cx="595380" cy="23698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en-US" sz="1100"/>
            <a:t>Units</a:t>
          </a:r>
        </a:p>
      </cdr:txBody>
    </cdr:sp>
  </cdr:relSizeAnchor>
  <cdr:relSizeAnchor xmlns:cdr="http://schemas.openxmlformats.org/drawingml/2006/chartDrawing">
    <cdr:from>
      <cdr:x>0.85788</cdr:x>
      <cdr:y>0.55941</cdr:y>
    </cdr:from>
    <cdr:to>
      <cdr:x>1</cdr:x>
      <cdr:y>0.63366</cdr:y>
    </cdr:to>
    <cdr:sp macro="" textlink="">
      <cdr:nvSpPr>
        <cdr:cNvPr id="165895" name="TextBox 7"/>
        <cdr:cNvSpPr txBox="1">
          <a:spLocks xmlns:a="http://schemas.openxmlformats.org/drawingml/2006/main" noChangeArrowheads="1"/>
        </cdr:cNvSpPr>
      </cdr:nvSpPr>
      <cdr:spPr bwMode="auto">
        <a:xfrm xmlns:a="http://schemas.openxmlformats.org/drawingml/2006/main">
          <a:off x="5275870" y="2152650"/>
          <a:ext cx="858229" cy="28574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defRPr sz="1000"/>
          </a:pPr>
          <a:r>
            <a:rPr lang="en-US" sz="1100" b="1" i="0" strike="noStrike">
              <a:solidFill>
                <a:srgbClr val="800000"/>
              </a:solidFill>
              <a:latin typeface="Calibri"/>
            </a:rPr>
            <a:t>Fixed Costs</a:t>
          </a:r>
        </a:p>
      </cdr:txBody>
    </cdr:sp>
  </cdr:relSizeAnchor>
  <cdr:relSizeAnchor xmlns:cdr="http://schemas.openxmlformats.org/drawingml/2006/chartDrawing">
    <cdr:from>
      <cdr:x>0.8856</cdr:x>
      <cdr:y>0.64851</cdr:y>
    </cdr:from>
    <cdr:to>
      <cdr:x>0.94637</cdr:x>
      <cdr:y>0.72737</cdr:y>
    </cdr:to>
    <cdr:sp macro="" textlink="">
      <cdr:nvSpPr>
        <cdr:cNvPr id="165896" name="TextBox 8"/>
        <cdr:cNvSpPr txBox="1">
          <a:spLocks xmlns:a="http://schemas.openxmlformats.org/drawingml/2006/main" noChangeArrowheads="1"/>
        </cdr:cNvSpPr>
      </cdr:nvSpPr>
      <cdr:spPr bwMode="auto">
        <a:xfrm xmlns:a="http://schemas.openxmlformats.org/drawingml/2006/main">
          <a:off x="5347997" y="2495550"/>
          <a:ext cx="367003" cy="30345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defRPr sz="1000"/>
          </a:pPr>
          <a:r>
            <a:rPr lang="en-US" sz="1100" b="1" i="0" strike="noStrike">
              <a:solidFill>
                <a:srgbClr val="0000FF"/>
              </a:solidFill>
              <a:latin typeface="Calibri"/>
            </a:rPr>
            <a:t>VC</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409575</xdr:colOff>
      <xdr:row>2</xdr:row>
      <xdr:rowOff>38099</xdr:rowOff>
    </xdr:from>
    <xdr:to>
      <xdr:col>7</xdr:col>
      <xdr:colOff>381000</xdr:colOff>
      <xdr:row>3</xdr:row>
      <xdr:rowOff>13334</xdr:rowOff>
    </xdr:to>
    <xdr:grpSp>
      <xdr:nvGrpSpPr>
        <xdr:cNvPr id="46" name="Group 45">
          <a:extLst>
            <a:ext uri="{FF2B5EF4-FFF2-40B4-BE49-F238E27FC236}">
              <a16:creationId xmlns:a16="http://schemas.microsoft.com/office/drawing/2014/main" id="{00000000-0008-0000-0300-00002E000000}"/>
            </a:ext>
          </a:extLst>
        </xdr:cNvPr>
        <xdr:cNvGrpSpPr/>
      </xdr:nvGrpSpPr>
      <xdr:grpSpPr>
        <a:xfrm>
          <a:off x="1019175" y="723899"/>
          <a:ext cx="4724400" cy="137160"/>
          <a:chOff x="1019175" y="723899"/>
          <a:chExt cx="4724400" cy="137160"/>
        </a:xfrm>
      </xdr:grpSpPr>
      <xdr:cxnSp macro="">
        <xdr:nvCxnSpPr>
          <xdr:cNvPr id="3" name="Straight Connector 2">
            <a:extLst>
              <a:ext uri="{FF2B5EF4-FFF2-40B4-BE49-F238E27FC236}">
                <a16:creationId xmlns:a16="http://schemas.microsoft.com/office/drawing/2014/main" id="{00000000-0008-0000-0300-000003000000}"/>
              </a:ext>
            </a:extLst>
          </xdr:cNvPr>
          <xdr:cNvCxnSpPr/>
        </xdr:nvCxnSpPr>
        <xdr:spPr bwMode="auto">
          <a:xfrm>
            <a:off x="1019175" y="790575"/>
            <a:ext cx="47244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5" name="Straight Connector 4">
            <a:extLst>
              <a:ext uri="{FF2B5EF4-FFF2-40B4-BE49-F238E27FC236}">
                <a16:creationId xmlns:a16="http://schemas.microsoft.com/office/drawing/2014/main" id="{00000000-0008-0000-0300-000005000000}"/>
              </a:ext>
            </a:extLst>
          </xdr:cNvPr>
          <xdr:cNvCxnSpPr/>
        </xdr:nvCxnSpPr>
        <xdr:spPr bwMode="auto">
          <a:xfrm>
            <a:off x="573405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7" name="Straight Connector 6">
            <a:extLst>
              <a:ext uri="{FF2B5EF4-FFF2-40B4-BE49-F238E27FC236}">
                <a16:creationId xmlns:a16="http://schemas.microsoft.com/office/drawing/2014/main" id="{00000000-0008-0000-0300-000007000000}"/>
              </a:ext>
            </a:extLst>
          </xdr:cNvPr>
          <xdr:cNvCxnSpPr/>
        </xdr:nvCxnSpPr>
        <xdr:spPr bwMode="auto">
          <a:xfrm>
            <a:off x="181927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8" name="Straight Connector 7">
            <a:extLst>
              <a:ext uri="{FF2B5EF4-FFF2-40B4-BE49-F238E27FC236}">
                <a16:creationId xmlns:a16="http://schemas.microsoft.com/office/drawing/2014/main" id="{00000000-0008-0000-0300-000008000000}"/>
              </a:ext>
            </a:extLst>
          </xdr:cNvPr>
          <xdr:cNvCxnSpPr/>
        </xdr:nvCxnSpPr>
        <xdr:spPr bwMode="auto">
          <a:xfrm>
            <a:off x="25622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9" name="Straight Connector 8">
            <a:extLst>
              <a:ext uri="{FF2B5EF4-FFF2-40B4-BE49-F238E27FC236}">
                <a16:creationId xmlns:a16="http://schemas.microsoft.com/office/drawing/2014/main" id="{00000000-0008-0000-0300-000009000000}"/>
              </a:ext>
            </a:extLst>
          </xdr:cNvPr>
          <xdr:cNvCxnSpPr/>
        </xdr:nvCxnSpPr>
        <xdr:spPr bwMode="auto">
          <a:xfrm>
            <a:off x="337185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10" name="Straight Connector 9">
            <a:extLst>
              <a:ext uri="{FF2B5EF4-FFF2-40B4-BE49-F238E27FC236}">
                <a16:creationId xmlns:a16="http://schemas.microsoft.com/office/drawing/2014/main" id="{00000000-0008-0000-0300-00000A000000}"/>
              </a:ext>
            </a:extLst>
          </xdr:cNvPr>
          <xdr:cNvCxnSpPr/>
        </xdr:nvCxnSpPr>
        <xdr:spPr bwMode="auto">
          <a:xfrm>
            <a:off x="42005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11" name="Straight Connector 10">
            <a:extLst>
              <a:ext uri="{FF2B5EF4-FFF2-40B4-BE49-F238E27FC236}">
                <a16:creationId xmlns:a16="http://schemas.microsoft.com/office/drawing/2014/main" id="{00000000-0008-0000-0300-00000B000000}"/>
              </a:ext>
            </a:extLst>
          </xdr:cNvPr>
          <xdr:cNvCxnSpPr/>
        </xdr:nvCxnSpPr>
        <xdr:spPr bwMode="auto">
          <a:xfrm>
            <a:off x="49625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12" name="Straight Connector 11">
            <a:extLst>
              <a:ext uri="{FF2B5EF4-FFF2-40B4-BE49-F238E27FC236}">
                <a16:creationId xmlns:a16="http://schemas.microsoft.com/office/drawing/2014/main" id="{00000000-0008-0000-0300-00000C000000}"/>
              </a:ext>
            </a:extLst>
          </xdr:cNvPr>
          <xdr:cNvCxnSpPr/>
        </xdr:nvCxnSpPr>
        <xdr:spPr bwMode="auto">
          <a:xfrm>
            <a:off x="102870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grpSp>
    <xdr:clientData/>
  </xdr:twoCellAnchor>
  <xdr:twoCellAnchor>
    <xdr:from>
      <xdr:col>1</xdr:col>
      <xdr:colOff>419100</xdr:colOff>
      <xdr:row>7</xdr:row>
      <xdr:rowOff>28575</xdr:rowOff>
    </xdr:from>
    <xdr:to>
      <xdr:col>4</xdr:col>
      <xdr:colOff>419100</xdr:colOff>
      <xdr:row>8</xdr:row>
      <xdr:rowOff>3810</xdr:rowOff>
    </xdr:to>
    <xdr:grpSp>
      <xdr:nvGrpSpPr>
        <xdr:cNvPr id="47" name="Group 46">
          <a:extLst>
            <a:ext uri="{FF2B5EF4-FFF2-40B4-BE49-F238E27FC236}">
              <a16:creationId xmlns:a16="http://schemas.microsoft.com/office/drawing/2014/main" id="{00000000-0008-0000-0300-00002F000000}"/>
            </a:ext>
          </a:extLst>
        </xdr:cNvPr>
        <xdr:cNvGrpSpPr/>
      </xdr:nvGrpSpPr>
      <xdr:grpSpPr>
        <a:xfrm>
          <a:off x="1028700" y="1543050"/>
          <a:ext cx="2343150" cy="137160"/>
          <a:chOff x="1028700" y="1543050"/>
          <a:chExt cx="2343150" cy="137160"/>
        </a:xfrm>
      </xdr:grpSpPr>
      <xdr:cxnSp macro="">
        <xdr:nvCxnSpPr>
          <xdr:cNvPr id="17" name="Straight Connector 16">
            <a:extLst>
              <a:ext uri="{FF2B5EF4-FFF2-40B4-BE49-F238E27FC236}">
                <a16:creationId xmlns:a16="http://schemas.microsoft.com/office/drawing/2014/main" id="{00000000-0008-0000-0300-000011000000}"/>
              </a:ext>
            </a:extLst>
          </xdr:cNvPr>
          <xdr:cNvCxnSpPr/>
        </xdr:nvCxnSpPr>
        <xdr:spPr bwMode="auto">
          <a:xfrm>
            <a:off x="1028700" y="1609726"/>
            <a:ext cx="234315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19" name="Straight Connector 18">
            <a:extLst>
              <a:ext uri="{FF2B5EF4-FFF2-40B4-BE49-F238E27FC236}">
                <a16:creationId xmlns:a16="http://schemas.microsoft.com/office/drawing/2014/main" id="{00000000-0008-0000-0300-000013000000}"/>
              </a:ext>
            </a:extLst>
          </xdr:cNvPr>
          <xdr:cNvCxnSpPr/>
        </xdr:nvCxnSpPr>
        <xdr:spPr bwMode="auto">
          <a:xfrm>
            <a:off x="1819275" y="15430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0" name="Straight Connector 19">
            <a:extLst>
              <a:ext uri="{FF2B5EF4-FFF2-40B4-BE49-F238E27FC236}">
                <a16:creationId xmlns:a16="http://schemas.microsoft.com/office/drawing/2014/main" id="{00000000-0008-0000-0300-000014000000}"/>
              </a:ext>
            </a:extLst>
          </xdr:cNvPr>
          <xdr:cNvCxnSpPr/>
        </xdr:nvCxnSpPr>
        <xdr:spPr bwMode="auto">
          <a:xfrm>
            <a:off x="2562225" y="15430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1" name="Straight Connector 20">
            <a:extLst>
              <a:ext uri="{FF2B5EF4-FFF2-40B4-BE49-F238E27FC236}">
                <a16:creationId xmlns:a16="http://schemas.microsoft.com/office/drawing/2014/main" id="{00000000-0008-0000-0300-000015000000}"/>
              </a:ext>
            </a:extLst>
          </xdr:cNvPr>
          <xdr:cNvCxnSpPr/>
        </xdr:nvCxnSpPr>
        <xdr:spPr bwMode="auto">
          <a:xfrm>
            <a:off x="3371850" y="15430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4" name="Straight Connector 23">
            <a:extLst>
              <a:ext uri="{FF2B5EF4-FFF2-40B4-BE49-F238E27FC236}">
                <a16:creationId xmlns:a16="http://schemas.microsoft.com/office/drawing/2014/main" id="{00000000-0008-0000-0300-000018000000}"/>
              </a:ext>
            </a:extLst>
          </xdr:cNvPr>
          <xdr:cNvCxnSpPr/>
        </xdr:nvCxnSpPr>
        <xdr:spPr bwMode="auto">
          <a:xfrm>
            <a:off x="1028700" y="15430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grpSp>
    <xdr:clientData/>
  </xdr:twoCellAnchor>
  <xdr:twoCellAnchor>
    <xdr:from>
      <xdr:col>1</xdr:col>
      <xdr:colOff>323850</xdr:colOff>
      <xdr:row>13</xdr:row>
      <xdr:rowOff>161925</xdr:rowOff>
    </xdr:from>
    <xdr:to>
      <xdr:col>7</xdr:col>
      <xdr:colOff>381000</xdr:colOff>
      <xdr:row>14</xdr:row>
      <xdr:rowOff>127635</xdr:rowOff>
    </xdr:to>
    <xdr:grpSp>
      <xdr:nvGrpSpPr>
        <xdr:cNvPr id="25" name="Group 24">
          <a:extLst>
            <a:ext uri="{FF2B5EF4-FFF2-40B4-BE49-F238E27FC236}">
              <a16:creationId xmlns:a16="http://schemas.microsoft.com/office/drawing/2014/main" id="{00000000-0008-0000-0300-000019000000}"/>
            </a:ext>
          </a:extLst>
        </xdr:cNvPr>
        <xdr:cNvGrpSpPr/>
      </xdr:nvGrpSpPr>
      <xdr:grpSpPr>
        <a:xfrm>
          <a:off x="933450" y="2971800"/>
          <a:ext cx="4810125" cy="137160"/>
          <a:chOff x="933450" y="723899"/>
          <a:chExt cx="4810125" cy="137160"/>
        </a:xfrm>
      </xdr:grpSpPr>
      <xdr:cxnSp macro="">
        <xdr:nvCxnSpPr>
          <xdr:cNvPr id="26" name="Straight Connector 25">
            <a:extLst>
              <a:ext uri="{FF2B5EF4-FFF2-40B4-BE49-F238E27FC236}">
                <a16:creationId xmlns:a16="http://schemas.microsoft.com/office/drawing/2014/main" id="{00000000-0008-0000-0300-00001A000000}"/>
              </a:ext>
            </a:extLst>
          </xdr:cNvPr>
          <xdr:cNvCxnSpPr/>
        </xdr:nvCxnSpPr>
        <xdr:spPr bwMode="auto">
          <a:xfrm>
            <a:off x="933450" y="790575"/>
            <a:ext cx="4810125"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7" name="Straight Connector 26">
            <a:extLst>
              <a:ext uri="{FF2B5EF4-FFF2-40B4-BE49-F238E27FC236}">
                <a16:creationId xmlns:a16="http://schemas.microsoft.com/office/drawing/2014/main" id="{00000000-0008-0000-0300-00001B000000}"/>
              </a:ext>
            </a:extLst>
          </xdr:cNvPr>
          <xdr:cNvCxnSpPr/>
        </xdr:nvCxnSpPr>
        <xdr:spPr bwMode="auto">
          <a:xfrm>
            <a:off x="573405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8" name="Straight Connector 27">
            <a:extLst>
              <a:ext uri="{FF2B5EF4-FFF2-40B4-BE49-F238E27FC236}">
                <a16:creationId xmlns:a16="http://schemas.microsoft.com/office/drawing/2014/main" id="{00000000-0008-0000-0300-00001C000000}"/>
              </a:ext>
            </a:extLst>
          </xdr:cNvPr>
          <xdr:cNvCxnSpPr/>
        </xdr:nvCxnSpPr>
        <xdr:spPr bwMode="auto">
          <a:xfrm>
            <a:off x="181927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29" name="Straight Connector 28">
            <a:extLst>
              <a:ext uri="{FF2B5EF4-FFF2-40B4-BE49-F238E27FC236}">
                <a16:creationId xmlns:a16="http://schemas.microsoft.com/office/drawing/2014/main" id="{00000000-0008-0000-0300-00001D000000}"/>
              </a:ext>
            </a:extLst>
          </xdr:cNvPr>
          <xdr:cNvCxnSpPr/>
        </xdr:nvCxnSpPr>
        <xdr:spPr bwMode="auto">
          <a:xfrm>
            <a:off x="25622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0" name="Straight Connector 29">
            <a:extLst>
              <a:ext uri="{FF2B5EF4-FFF2-40B4-BE49-F238E27FC236}">
                <a16:creationId xmlns:a16="http://schemas.microsoft.com/office/drawing/2014/main" id="{00000000-0008-0000-0300-00001E000000}"/>
              </a:ext>
            </a:extLst>
          </xdr:cNvPr>
          <xdr:cNvCxnSpPr/>
        </xdr:nvCxnSpPr>
        <xdr:spPr bwMode="auto">
          <a:xfrm>
            <a:off x="337185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1" name="Straight Connector 30">
            <a:extLst>
              <a:ext uri="{FF2B5EF4-FFF2-40B4-BE49-F238E27FC236}">
                <a16:creationId xmlns:a16="http://schemas.microsoft.com/office/drawing/2014/main" id="{00000000-0008-0000-0300-00001F000000}"/>
              </a:ext>
            </a:extLst>
          </xdr:cNvPr>
          <xdr:cNvCxnSpPr/>
        </xdr:nvCxnSpPr>
        <xdr:spPr bwMode="auto">
          <a:xfrm>
            <a:off x="42005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2" name="Straight Connector 31">
            <a:extLst>
              <a:ext uri="{FF2B5EF4-FFF2-40B4-BE49-F238E27FC236}">
                <a16:creationId xmlns:a16="http://schemas.microsoft.com/office/drawing/2014/main" id="{00000000-0008-0000-0300-000020000000}"/>
              </a:ext>
            </a:extLst>
          </xdr:cNvPr>
          <xdr:cNvCxnSpPr/>
        </xdr:nvCxnSpPr>
        <xdr:spPr bwMode="auto">
          <a:xfrm>
            <a:off x="4962525"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3" name="Straight Connector 32">
            <a:extLst>
              <a:ext uri="{FF2B5EF4-FFF2-40B4-BE49-F238E27FC236}">
                <a16:creationId xmlns:a16="http://schemas.microsoft.com/office/drawing/2014/main" id="{00000000-0008-0000-0300-000021000000}"/>
              </a:ext>
            </a:extLst>
          </xdr:cNvPr>
          <xdr:cNvCxnSpPr/>
        </xdr:nvCxnSpPr>
        <xdr:spPr bwMode="auto">
          <a:xfrm>
            <a:off x="933450" y="723899"/>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grpSp>
    <xdr:clientData/>
  </xdr:twoCellAnchor>
  <xdr:twoCellAnchor>
    <xdr:from>
      <xdr:col>1</xdr:col>
      <xdr:colOff>419100</xdr:colOff>
      <xdr:row>20</xdr:row>
      <xdr:rowOff>57150</xdr:rowOff>
    </xdr:from>
    <xdr:to>
      <xdr:col>7</xdr:col>
      <xdr:colOff>381000</xdr:colOff>
      <xdr:row>20</xdr:row>
      <xdr:rowOff>194310</xdr:rowOff>
    </xdr:to>
    <xdr:grpSp>
      <xdr:nvGrpSpPr>
        <xdr:cNvPr id="49" name="Group 48">
          <a:extLst>
            <a:ext uri="{FF2B5EF4-FFF2-40B4-BE49-F238E27FC236}">
              <a16:creationId xmlns:a16="http://schemas.microsoft.com/office/drawing/2014/main" id="{00000000-0008-0000-0300-000031000000}"/>
            </a:ext>
          </a:extLst>
        </xdr:cNvPr>
        <xdr:cNvGrpSpPr/>
      </xdr:nvGrpSpPr>
      <xdr:grpSpPr>
        <a:xfrm>
          <a:off x="1028700" y="4171950"/>
          <a:ext cx="4714875" cy="137160"/>
          <a:chOff x="1028700" y="4171950"/>
          <a:chExt cx="4714875" cy="137160"/>
        </a:xfrm>
      </xdr:grpSpPr>
      <xdr:cxnSp macro="">
        <xdr:nvCxnSpPr>
          <xdr:cNvPr id="35" name="Straight Connector 34">
            <a:extLst>
              <a:ext uri="{FF2B5EF4-FFF2-40B4-BE49-F238E27FC236}">
                <a16:creationId xmlns:a16="http://schemas.microsoft.com/office/drawing/2014/main" id="{00000000-0008-0000-0300-000023000000}"/>
              </a:ext>
            </a:extLst>
          </xdr:cNvPr>
          <xdr:cNvCxnSpPr/>
        </xdr:nvCxnSpPr>
        <xdr:spPr bwMode="auto">
          <a:xfrm>
            <a:off x="1028700" y="4238626"/>
            <a:ext cx="4714875"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6" name="Straight Connector 35">
            <a:extLst>
              <a:ext uri="{FF2B5EF4-FFF2-40B4-BE49-F238E27FC236}">
                <a16:creationId xmlns:a16="http://schemas.microsoft.com/office/drawing/2014/main" id="{00000000-0008-0000-0300-000024000000}"/>
              </a:ext>
            </a:extLst>
          </xdr:cNvPr>
          <xdr:cNvCxnSpPr/>
        </xdr:nvCxnSpPr>
        <xdr:spPr bwMode="auto">
          <a:xfrm>
            <a:off x="5734050"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7" name="Straight Connector 36">
            <a:extLst>
              <a:ext uri="{FF2B5EF4-FFF2-40B4-BE49-F238E27FC236}">
                <a16:creationId xmlns:a16="http://schemas.microsoft.com/office/drawing/2014/main" id="{00000000-0008-0000-0300-000025000000}"/>
              </a:ext>
            </a:extLst>
          </xdr:cNvPr>
          <xdr:cNvCxnSpPr/>
        </xdr:nvCxnSpPr>
        <xdr:spPr bwMode="auto">
          <a:xfrm>
            <a:off x="1819275"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8" name="Straight Connector 37">
            <a:extLst>
              <a:ext uri="{FF2B5EF4-FFF2-40B4-BE49-F238E27FC236}">
                <a16:creationId xmlns:a16="http://schemas.microsoft.com/office/drawing/2014/main" id="{00000000-0008-0000-0300-000026000000}"/>
              </a:ext>
            </a:extLst>
          </xdr:cNvPr>
          <xdr:cNvCxnSpPr/>
        </xdr:nvCxnSpPr>
        <xdr:spPr bwMode="auto">
          <a:xfrm>
            <a:off x="2562225"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39" name="Straight Connector 38">
            <a:extLst>
              <a:ext uri="{FF2B5EF4-FFF2-40B4-BE49-F238E27FC236}">
                <a16:creationId xmlns:a16="http://schemas.microsoft.com/office/drawing/2014/main" id="{00000000-0008-0000-0300-000027000000}"/>
              </a:ext>
            </a:extLst>
          </xdr:cNvPr>
          <xdr:cNvCxnSpPr/>
        </xdr:nvCxnSpPr>
        <xdr:spPr bwMode="auto">
          <a:xfrm>
            <a:off x="3371850"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40" name="Straight Connector 39">
            <a:extLst>
              <a:ext uri="{FF2B5EF4-FFF2-40B4-BE49-F238E27FC236}">
                <a16:creationId xmlns:a16="http://schemas.microsoft.com/office/drawing/2014/main" id="{00000000-0008-0000-0300-000028000000}"/>
              </a:ext>
            </a:extLst>
          </xdr:cNvPr>
          <xdr:cNvCxnSpPr/>
        </xdr:nvCxnSpPr>
        <xdr:spPr bwMode="auto">
          <a:xfrm>
            <a:off x="4200525"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41" name="Straight Connector 40">
            <a:extLst>
              <a:ext uri="{FF2B5EF4-FFF2-40B4-BE49-F238E27FC236}">
                <a16:creationId xmlns:a16="http://schemas.microsoft.com/office/drawing/2014/main" id="{00000000-0008-0000-0300-000029000000}"/>
              </a:ext>
            </a:extLst>
          </xdr:cNvPr>
          <xdr:cNvCxnSpPr/>
        </xdr:nvCxnSpPr>
        <xdr:spPr bwMode="auto">
          <a:xfrm>
            <a:off x="4962525"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xnSp macro="">
        <xdr:nvCxnSpPr>
          <xdr:cNvPr id="42" name="Straight Connector 41">
            <a:extLst>
              <a:ext uri="{FF2B5EF4-FFF2-40B4-BE49-F238E27FC236}">
                <a16:creationId xmlns:a16="http://schemas.microsoft.com/office/drawing/2014/main" id="{00000000-0008-0000-0300-00002A000000}"/>
              </a:ext>
            </a:extLst>
          </xdr:cNvPr>
          <xdr:cNvCxnSpPr/>
        </xdr:nvCxnSpPr>
        <xdr:spPr bwMode="auto">
          <a:xfrm>
            <a:off x="1028700" y="4171950"/>
            <a:ext cx="0" cy="13716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4"/>
  <sheetViews>
    <sheetView tabSelected="1" zoomScaleNormal="100" zoomScaleSheetLayoutView="100" workbookViewId="0"/>
  </sheetViews>
  <sheetFormatPr defaultColWidth="9.7109375" defaultRowHeight="12.75" x14ac:dyDescent="0.2"/>
  <cols>
    <col min="1" max="1" width="9.7109375" style="2" customWidth="1"/>
    <col min="2" max="2" width="10.85546875" style="2" customWidth="1"/>
    <col min="3" max="3" width="11.42578125" style="2" customWidth="1"/>
    <col min="4" max="4" width="12.7109375" style="2" customWidth="1"/>
    <col min="5" max="8" width="9.7109375" style="2" customWidth="1"/>
    <col min="9" max="9" width="10.7109375" style="2" customWidth="1"/>
    <col min="10" max="10" width="5.140625" style="2" customWidth="1"/>
    <col min="11" max="11" width="9.7109375" style="2"/>
    <col min="12" max="12" width="10.85546875" style="2" customWidth="1"/>
    <col min="13" max="13" width="11.42578125" style="2" customWidth="1"/>
    <col min="14" max="14" width="9" style="2" customWidth="1"/>
    <col min="15" max="15" width="7" style="2" customWidth="1"/>
    <col min="16" max="16" width="7.140625" style="2" customWidth="1"/>
    <col min="17" max="17" width="6.85546875" style="2" customWidth="1"/>
    <col min="18" max="18" width="7.5703125" style="2" customWidth="1"/>
    <col min="19" max="19" width="7.42578125" style="2" customWidth="1"/>
    <col min="20" max="16384" width="9.7109375" style="2"/>
  </cols>
  <sheetData>
    <row r="1" spans="1:20" s="62" customFormat="1" x14ac:dyDescent="0.2">
      <c r="A1" s="62" t="s">
        <v>1</v>
      </c>
      <c r="D1" s="665">
        <f ca="1">NOW()</f>
        <v>43139.578702199076</v>
      </c>
      <c r="E1" s="665"/>
      <c r="F1" s="665"/>
      <c r="H1" s="63"/>
      <c r="I1" s="593">
        <v>43139</v>
      </c>
    </row>
    <row r="2" spans="1:20" ht="15" x14ac:dyDescent="0.25">
      <c r="A2" s="46"/>
      <c r="B2" s="1"/>
      <c r="C2" s="1"/>
      <c r="D2" s="1"/>
      <c r="F2" s="1"/>
      <c r="G2" s="1"/>
      <c r="H2" s="1"/>
      <c r="I2" s="1"/>
      <c r="J2" s="1"/>
      <c r="K2" s="9"/>
      <c r="L2" s="10"/>
      <c r="M2" s="10"/>
      <c r="N2" s="10"/>
      <c r="O2" s="10"/>
      <c r="P2" s="10"/>
      <c r="Q2" s="10"/>
      <c r="R2" s="10"/>
      <c r="S2" s="10"/>
    </row>
    <row r="3" spans="1:20" s="4" customFormat="1" ht="19.5" customHeight="1" x14ac:dyDescent="0.25">
      <c r="A3" s="667" t="s">
        <v>0</v>
      </c>
      <c r="B3" s="667"/>
      <c r="C3" s="667"/>
      <c r="D3" s="667"/>
      <c r="E3" s="667"/>
      <c r="F3" s="667"/>
      <c r="G3" s="667"/>
      <c r="H3" s="667"/>
      <c r="I3" s="667"/>
      <c r="J3" s="3"/>
      <c r="K3" s="9"/>
      <c r="L3" s="10"/>
      <c r="M3" s="10"/>
      <c r="N3" s="10"/>
      <c r="O3" s="10"/>
      <c r="P3" s="10"/>
      <c r="Q3" s="10"/>
      <c r="R3" s="10"/>
      <c r="S3" s="10"/>
    </row>
    <row r="4" spans="1:20" ht="12.75" customHeight="1" x14ac:dyDescent="0.2">
      <c r="A4" s="13"/>
      <c r="B4" s="10"/>
      <c r="C4" s="10"/>
      <c r="D4" s="10"/>
      <c r="E4" s="10"/>
      <c r="F4" s="10"/>
      <c r="G4" s="10"/>
      <c r="H4" s="10"/>
      <c r="I4" s="10"/>
      <c r="J4" s="1"/>
      <c r="K4" s="11"/>
      <c r="L4" s="11"/>
      <c r="M4" s="11"/>
      <c r="N4" s="11"/>
      <c r="O4" s="11"/>
      <c r="P4" s="11"/>
      <c r="Q4" s="11"/>
      <c r="R4" s="11"/>
      <c r="S4" s="11"/>
      <c r="T4" s="11"/>
    </row>
    <row r="5" spans="1:20" ht="72" customHeight="1" x14ac:dyDescent="0.2">
      <c r="A5" s="662" t="s">
        <v>196</v>
      </c>
      <c r="B5" s="666"/>
      <c r="C5" s="666"/>
      <c r="D5" s="666"/>
      <c r="E5" s="666"/>
      <c r="F5" s="666"/>
      <c r="G5" s="666"/>
      <c r="H5" s="666"/>
      <c r="I5" s="666"/>
      <c r="J5" s="1"/>
    </row>
    <row r="6" spans="1:20" x14ac:dyDescent="0.2">
      <c r="A6" s="668"/>
      <c r="B6" s="669"/>
      <c r="C6" s="669"/>
      <c r="D6" s="669"/>
      <c r="E6" s="669"/>
      <c r="F6" s="669"/>
      <c r="G6" s="669"/>
      <c r="H6" s="669"/>
      <c r="I6" s="669"/>
      <c r="J6" s="1"/>
      <c r="K6" s="9"/>
      <c r="L6" s="10"/>
      <c r="M6" s="10"/>
      <c r="N6" s="10"/>
      <c r="O6" s="10"/>
      <c r="P6" s="10"/>
      <c r="Q6" s="10"/>
      <c r="R6" s="10"/>
      <c r="S6" s="10"/>
    </row>
    <row r="7" spans="1:20" ht="21" customHeight="1" x14ac:dyDescent="0.25">
      <c r="A7" s="71" t="s">
        <v>166</v>
      </c>
      <c r="B7" s="69"/>
      <c r="C7" s="69"/>
      <c r="D7" s="69"/>
      <c r="E7" s="69"/>
      <c r="F7" s="69"/>
      <c r="G7" s="69"/>
      <c r="H7" s="69"/>
      <c r="I7" s="69"/>
      <c r="J7" s="1"/>
      <c r="K7" s="9"/>
      <c r="L7" s="10"/>
      <c r="M7" s="10"/>
      <c r="N7" s="10"/>
      <c r="O7" s="10"/>
      <c r="P7" s="10"/>
      <c r="Q7" s="10"/>
      <c r="R7" s="10"/>
      <c r="S7" s="10"/>
    </row>
    <row r="8" spans="1:20" ht="88.5" customHeight="1" x14ac:dyDescent="0.2">
      <c r="A8" s="662" t="s">
        <v>189</v>
      </c>
      <c r="B8" s="666"/>
      <c r="C8" s="666"/>
      <c r="D8" s="666"/>
      <c r="E8" s="666"/>
      <c r="F8" s="666"/>
      <c r="G8" s="666"/>
      <c r="H8" s="666"/>
      <c r="I8" s="666"/>
      <c r="J8" s="1"/>
      <c r="K8" s="662"/>
      <c r="L8" s="666"/>
      <c r="M8" s="666"/>
      <c r="N8" s="666"/>
      <c r="O8" s="666"/>
      <c r="P8" s="666"/>
      <c r="Q8" s="666"/>
      <c r="R8" s="666"/>
      <c r="S8" s="666"/>
    </row>
    <row r="9" spans="1:20" ht="27" customHeight="1" x14ac:dyDescent="0.2">
      <c r="A9" s="662" t="s">
        <v>195</v>
      </c>
      <c r="B9" s="662"/>
      <c r="C9" s="662"/>
      <c r="D9" s="662"/>
      <c r="E9" s="662"/>
      <c r="F9" s="662"/>
      <c r="G9" s="662"/>
      <c r="H9" s="662"/>
      <c r="I9" s="662"/>
      <c r="J9" s="70"/>
      <c r="K9" s="1"/>
      <c r="L9" s="1"/>
      <c r="M9" s="1"/>
      <c r="N9" s="1"/>
      <c r="O9" s="1"/>
      <c r="P9" s="1"/>
      <c r="Q9" s="1"/>
      <c r="R9" s="1"/>
      <c r="S9" s="1"/>
    </row>
    <row r="10" spans="1:20" ht="16.5" customHeight="1" x14ac:dyDescent="0.2">
      <c r="J10" s="1"/>
      <c r="K10" s="9"/>
      <c r="L10" s="10"/>
      <c r="M10" s="10"/>
      <c r="N10" s="10"/>
      <c r="O10" s="10"/>
      <c r="P10" s="10"/>
      <c r="Q10" s="10"/>
      <c r="R10" s="10"/>
      <c r="S10" s="10"/>
    </row>
    <row r="11" spans="1:20" ht="16.5" customHeight="1" x14ac:dyDescent="0.25">
      <c r="A11" s="356" t="s">
        <v>231</v>
      </c>
      <c r="B11" s="228"/>
      <c r="C11" s="228"/>
      <c r="D11" s="228"/>
      <c r="E11" s="228"/>
      <c r="F11" s="228"/>
      <c r="G11" s="228"/>
      <c r="H11" s="228"/>
      <c r="I11" s="357"/>
      <c r="J11" s="109"/>
      <c r="K11" s="327"/>
      <c r="L11" s="24"/>
      <c r="M11" s="24"/>
      <c r="N11" s="24"/>
      <c r="O11" s="24"/>
      <c r="P11" s="24"/>
      <c r="Q11" s="24"/>
      <c r="R11" s="24"/>
      <c r="S11" s="24"/>
    </row>
    <row r="12" spans="1:20" ht="16.5" customHeight="1" x14ac:dyDescent="0.2">
      <c r="A12" s="358"/>
      <c r="B12" s="167"/>
      <c r="C12" s="167"/>
      <c r="D12" s="231"/>
      <c r="E12" s="181">
        <v>0</v>
      </c>
      <c r="F12" s="181">
        <v>1</v>
      </c>
      <c r="G12" s="181">
        <v>2</v>
      </c>
      <c r="H12" s="181">
        <v>3</v>
      </c>
      <c r="I12" s="359">
        <v>4</v>
      </c>
      <c r="J12" s="109"/>
      <c r="K12" s="329" t="s">
        <v>167</v>
      </c>
      <c r="L12" s="24"/>
      <c r="M12" s="24"/>
      <c r="N12" s="330"/>
      <c r="O12" s="73">
        <v>0</v>
      </c>
      <c r="P12" s="73">
        <v>1</v>
      </c>
      <c r="Q12" s="73">
        <v>2</v>
      </c>
      <c r="R12" s="73">
        <v>3</v>
      </c>
      <c r="S12" s="73">
        <v>4</v>
      </c>
    </row>
    <row r="13" spans="1:20" ht="16.5" customHeight="1" x14ac:dyDescent="0.2">
      <c r="A13" s="360" t="s">
        <v>77</v>
      </c>
      <c r="B13" s="361"/>
      <c r="C13" s="362"/>
      <c r="D13" s="363"/>
      <c r="E13" s="231"/>
      <c r="F13" s="231"/>
      <c r="G13" s="231"/>
      <c r="H13" s="231"/>
      <c r="I13" s="364"/>
      <c r="J13" s="109"/>
      <c r="K13" s="68" t="s">
        <v>77</v>
      </c>
      <c r="L13" s="74"/>
      <c r="M13" s="24"/>
      <c r="N13" s="74"/>
      <c r="O13" s="331"/>
      <c r="P13" s="331"/>
      <c r="Q13" s="331"/>
      <c r="R13" s="331"/>
      <c r="S13" s="331"/>
    </row>
    <row r="14" spans="1:20" ht="16.5" customHeight="1" x14ac:dyDescent="0.2">
      <c r="A14" s="387" t="s">
        <v>78</v>
      </c>
      <c r="B14" s="384"/>
      <c r="C14" s="384"/>
      <c r="D14" s="384"/>
      <c r="E14" s="385">
        <f>-900</f>
        <v>-900</v>
      </c>
      <c r="F14" s="15"/>
      <c r="G14" s="15"/>
      <c r="H14" s="15"/>
      <c r="I14" s="48"/>
      <c r="J14" s="109"/>
      <c r="K14" s="24" t="s">
        <v>168</v>
      </c>
      <c r="L14" s="24"/>
      <c r="M14" s="24"/>
      <c r="N14" s="24"/>
      <c r="O14" s="25">
        <v>-900</v>
      </c>
      <c r="P14" s="25"/>
      <c r="Q14" s="25"/>
      <c r="R14" s="25"/>
      <c r="S14" s="25"/>
    </row>
    <row r="15" spans="1:20" ht="24.75" customHeight="1" x14ac:dyDescent="0.2">
      <c r="A15" s="637" t="s">
        <v>79</v>
      </c>
      <c r="B15" s="638"/>
      <c r="C15" s="638"/>
      <c r="D15" s="638"/>
      <c r="E15" s="386">
        <f>-100</f>
        <v>-100</v>
      </c>
      <c r="F15" s="15"/>
      <c r="G15" s="15"/>
      <c r="H15" s="15"/>
      <c r="I15" s="48"/>
      <c r="J15" s="109"/>
      <c r="K15" s="639" t="s">
        <v>169</v>
      </c>
      <c r="L15" s="639"/>
      <c r="M15" s="639"/>
      <c r="N15" s="639"/>
      <c r="O15" s="332">
        <v>-100</v>
      </c>
      <c r="P15" s="25"/>
      <c r="Q15" s="25"/>
      <c r="R15" s="25"/>
      <c r="S15" s="25"/>
    </row>
    <row r="16" spans="1:20" ht="26.25" customHeight="1" x14ac:dyDescent="0.2">
      <c r="A16" s="642" t="s">
        <v>170</v>
      </c>
      <c r="B16" s="643"/>
      <c r="C16" s="643"/>
      <c r="D16" s="643"/>
      <c r="E16" s="15"/>
      <c r="F16" s="15"/>
      <c r="G16" s="15"/>
      <c r="H16" s="15"/>
      <c r="I16" s="48"/>
      <c r="J16" s="109"/>
      <c r="K16" s="663" t="s">
        <v>171</v>
      </c>
      <c r="L16" s="639"/>
      <c r="M16" s="639"/>
      <c r="N16" s="639"/>
      <c r="O16" s="25"/>
      <c r="P16" s="25"/>
      <c r="Q16" s="25"/>
      <c r="R16" s="25"/>
      <c r="S16" s="25"/>
    </row>
    <row r="17" spans="1:19" ht="16.5" customHeight="1" x14ac:dyDescent="0.2">
      <c r="A17" s="229" t="s">
        <v>85</v>
      </c>
      <c r="B17" s="167"/>
      <c r="C17" s="167"/>
      <c r="D17" s="167"/>
      <c r="E17" s="15"/>
      <c r="F17" s="59">
        <v>2685</v>
      </c>
      <c r="G17" s="59">
        <v>2600</v>
      </c>
      <c r="H17" s="59">
        <v>2525</v>
      </c>
      <c r="I17" s="193">
        <v>2450</v>
      </c>
      <c r="J17" s="109"/>
      <c r="K17" s="24" t="s">
        <v>85</v>
      </c>
      <c r="L17" s="24"/>
      <c r="M17" s="24"/>
      <c r="N17" s="24"/>
      <c r="O17" s="25"/>
      <c r="P17" s="332">
        <f t="shared" ref="P17:S19" si="0">F17</f>
        <v>2685</v>
      </c>
      <c r="Q17" s="332">
        <f t="shared" si="0"/>
        <v>2600</v>
      </c>
      <c r="R17" s="332">
        <f t="shared" si="0"/>
        <v>2525</v>
      </c>
      <c r="S17" s="332">
        <f t="shared" si="0"/>
        <v>2450</v>
      </c>
    </row>
    <row r="18" spans="1:19" ht="16.5" customHeight="1" x14ac:dyDescent="0.2">
      <c r="A18" s="229" t="s">
        <v>51</v>
      </c>
      <c r="B18" s="167"/>
      <c r="C18" s="167"/>
      <c r="D18" s="167"/>
      <c r="E18" s="15"/>
      <c r="F18" s="169">
        <v>2</v>
      </c>
      <c r="G18" s="169">
        <f>F18</f>
        <v>2</v>
      </c>
      <c r="H18" s="169">
        <f>G18</f>
        <v>2</v>
      </c>
      <c r="I18" s="365">
        <f>H18</f>
        <v>2</v>
      </c>
      <c r="J18" s="109"/>
      <c r="K18" s="24" t="s">
        <v>51</v>
      </c>
      <c r="L18" s="24"/>
      <c r="M18" s="24"/>
      <c r="N18" s="24"/>
      <c r="O18" s="25"/>
      <c r="P18" s="333">
        <f t="shared" si="0"/>
        <v>2</v>
      </c>
      <c r="Q18" s="333">
        <f t="shared" si="0"/>
        <v>2</v>
      </c>
      <c r="R18" s="333">
        <f t="shared" si="0"/>
        <v>2</v>
      </c>
      <c r="S18" s="333">
        <f t="shared" si="0"/>
        <v>2</v>
      </c>
    </row>
    <row r="19" spans="1:19" ht="16.5" customHeight="1" x14ac:dyDescent="0.2">
      <c r="A19" s="229" t="s">
        <v>62</v>
      </c>
      <c r="B19" s="167"/>
      <c r="C19" s="167"/>
      <c r="D19" s="167"/>
      <c r="E19" s="15"/>
      <c r="F19" s="196">
        <v>1.0184978274363758</v>
      </c>
      <c r="G19" s="196">
        <v>1.0782051282051279</v>
      </c>
      <c r="H19" s="196">
        <v>1.045544554455446</v>
      </c>
      <c r="I19" s="197">
        <v>1.2212244897959179</v>
      </c>
      <c r="J19" s="109"/>
      <c r="K19" s="24" t="s">
        <v>62</v>
      </c>
      <c r="L19" s="24"/>
      <c r="M19" s="24"/>
      <c r="N19" s="24"/>
      <c r="O19" s="25"/>
      <c r="P19" s="334">
        <f t="shared" si="0"/>
        <v>1.0184978274363758</v>
      </c>
      <c r="Q19" s="334">
        <f t="shared" si="0"/>
        <v>1.0782051282051279</v>
      </c>
      <c r="R19" s="334">
        <f t="shared" si="0"/>
        <v>1.045544554455446</v>
      </c>
      <c r="S19" s="334">
        <f t="shared" si="0"/>
        <v>1.2212244897959179</v>
      </c>
    </row>
    <row r="20" spans="1:19" ht="16.5" customHeight="1" x14ac:dyDescent="0.2">
      <c r="A20" s="229" t="s">
        <v>172</v>
      </c>
      <c r="B20" s="167"/>
      <c r="C20" s="167"/>
      <c r="D20" s="167"/>
      <c r="E20" s="15"/>
      <c r="F20" s="15">
        <f>F17*F18</f>
        <v>5370</v>
      </c>
      <c r="G20" s="15">
        <f>G17*G18</f>
        <v>5200</v>
      </c>
      <c r="H20" s="15">
        <f>H17*H18</f>
        <v>5050</v>
      </c>
      <c r="I20" s="48">
        <f>I17*I18</f>
        <v>4900</v>
      </c>
      <c r="J20" s="109"/>
      <c r="K20" s="24" t="s">
        <v>87</v>
      </c>
      <c r="L20" s="24"/>
      <c r="M20" s="24"/>
      <c r="N20" s="24"/>
      <c r="O20" s="25"/>
      <c r="P20" s="25">
        <f>P17*P18</f>
        <v>5370</v>
      </c>
      <c r="Q20" s="25">
        <f>Q17*Q18</f>
        <v>5200</v>
      </c>
      <c r="R20" s="25">
        <f>R17*R18</f>
        <v>5050</v>
      </c>
      <c r="S20" s="25">
        <f>S17*S18</f>
        <v>4900</v>
      </c>
    </row>
    <row r="21" spans="1:19" ht="16.5" customHeight="1" x14ac:dyDescent="0.25">
      <c r="A21" s="229" t="s">
        <v>89</v>
      </c>
      <c r="B21" s="167"/>
      <c r="C21" s="167"/>
      <c r="D21" s="167"/>
      <c r="E21" s="15"/>
      <c r="F21" s="59">
        <f>F17*F19</f>
        <v>2734.6666666666692</v>
      </c>
      <c r="G21" s="59">
        <f>G17*G19</f>
        <v>2803.3333333333326</v>
      </c>
      <c r="H21" s="59">
        <f>H17*H19</f>
        <v>2640.0000000000014</v>
      </c>
      <c r="I21" s="193">
        <f>I17*I19</f>
        <v>2991.9999999999991</v>
      </c>
      <c r="J21" s="109"/>
      <c r="K21" s="24" t="s">
        <v>173</v>
      </c>
      <c r="L21" s="24"/>
      <c r="M21" s="24"/>
      <c r="N21" s="24"/>
      <c r="O21" s="25"/>
      <c r="P21" s="332">
        <f>F21</f>
        <v>2734.6666666666692</v>
      </c>
      <c r="Q21" s="332">
        <f>G21</f>
        <v>2803.3333333333326</v>
      </c>
      <c r="R21" s="332">
        <f>H21</f>
        <v>2640.0000000000014</v>
      </c>
      <c r="S21" s="332">
        <f>I21</f>
        <v>2991.9999999999991</v>
      </c>
    </row>
    <row r="22" spans="1:19" ht="16.5" customHeight="1" x14ac:dyDescent="0.2">
      <c r="A22" s="229" t="s">
        <v>91</v>
      </c>
      <c r="B22" s="167"/>
      <c r="C22" s="167"/>
      <c r="D22" s="167"/>
      <c r="E22" s="15"/>
      <c r="F22" s="59">
        <v>2000</v>
      </c>
      <c r="G22" s="59">
        <f>F22</f>
        <v>2000</v>
      </c>
      <c r="H22" s="59">
        <f>G22</f>
        <v>2000</v>
      </c>
      <c r="I22" s="193">
        <f>H22</f>
        <v>2000</v>
      </c>
      <c r="J22" s="109"/>
      <c r="K22" s="24" t="s">
        <v>91</v>
      </c>
      <c r="L22" s="24"/>
      <c r="M22" s="24"/>
      <c r="N22" s="24"/>
      <c r="O22" s="25"/>
      <c r="P22" s="332">
        <v>2000</v>
      </c>
      <c r="Q22" s="332">
        <f t="shared" ref="Q22:S23" si="1">P22</f>
        <v>2000</v>
      </c>
      <c r="R22" s="332">
        <f t="shared" si="1"/>
        <v>2000</v>
      </c>
      <c r="S22" s="332">
        <f t="shared" si="1"/>
        <v>2000</v>
      </c>
    </row>
    <row r="23" spans="1:19" ht="16.5" customHeight="1" x14ac:dyDescent="0.2">
      <c r="A23" s="229" t="s">
        <v>174</v>
      </c>
      <c r="B23" s="92"/>
      <c r="C23" s="92"/>
      <c r="D23" s="167"/>
      <c r="E23" s="15"/>
      <c r="F23" s="366">
        <f>F39</f>
        <v>297</v>
      </c>
      <c r="G23" s="366">
        <f>G39</f>
        <v>405</v>
      </c>
      <c r="H23" s="366">
        <f>H39</f>
        <v>135</v>
      </c>
      <c r="I23" s="367">
        <f>I39</f>
        <v>63.000000000000007</v>
      </c>
      <c r="J23" s="109"/>
      <c r="K23" s="335" t="s">
        <v>192</v>
      </c>
      <c r="L23" s="335"/>
      <c r="M23" s="335"/>
      <c r="N23" s="335"/>
      <c r="O23" s="336"/>
      <c r="P23" s="337">
        <f>F42</f>
        <v>225</v>
      </c>
      <c r="Q23" s="337">
        <f t="shared" si="1"/>
        <v>225</v>
      </c>
      <c r="R23" s="337">
        <f t="shared" si="1"/>
        <v>225</v>
      </c>
      <c r="S23" s="337">
        <f t="shared" si="1"/>
        <v>225</v>
      </c>
    </row>
    <row r="24" spans="1:19" ht="16.5" customHeight="1" x14ac:dyDescent="0.2">
      <c r="A24" s="229" t="s">
        <v>92</v>
      </c>
      <c r="B24" s="167"/>
      <c r="C24" s="167"/>
      <c r="D24" s="167"/>
      <c r="E24" s="15"/>
      <c r="F24" s="368">
        <f>F21+F22+F23</f>
        <v>5031.6666666666697</v>
      </c>
      <c r="G24" s="368">
        <f>G21+G22+G23</f>
        <v>5208.3333333333321</v>
      </c>
      <c r="H24" s="368">
        <f>H21+H22+H23</f>
        <v>4775.0000000000018</v>
      </c>
      <c r="I24" s="369">
        <f>I21+I22+I23</f>
        <v>5054.9999999999991</v>
      </c>
      <c r="J24" s="109"/>
      <c r="K24" s="24" t="s">
        <v>92</v>
      </c>
      <c r="L24" s="24"/>
      <c r="M24" s="24"/>
      <c r="N24" s="24"/>
      <c r="O24" s="25"/>
      <c r="P24" s="338">
        <f>P21+P22+P23</f>
        <v>4959.6666666666697</v>
      </c>
      <c r="Q24" s="338">
        <f>Q21+Q22+Q23</f>
        <v>5028.3333333333321</v>
      </c>
      <c r="R24" s="338">
        <f>R21+R22+R23</f>
        <v>4865.0000000000018</v>
      </c>
      <c r="S24" s="338">
        <f>S21+S22+S23</f>
        <v>5216.9999999999991</v>
      </c>
    </row>
    <row r="25" spans="1:19" ht="16.5" customHeight="1" x14ac:dyDescent="0.2">
      <c r="A25" s="229" t="s">
        <v>93</v>
      </c>
      <c r="B25" s="167"/>
      <c r="C25" s="167"/>
      <c r="D25" s="167"/>
      <c r="E25" s="15"/>
      <c r="F25" s="15">
        <f>F20-F24</f>
        <v>338.3333333333303</v>
      </c>
      <c r="G25" s="15">
        <f>G20-G24</f>
        <v>-8.3333333333321207</v>
      </c>
      <c r="H25" s="15">
        <f>H20-H24</f>
        <v>274.99999999999818</v>
      </c>
      <c r="I25" s="48">
        <f>I20-I24</f>
        <v>-154.99999999999909</v>
      </c>
      <c r="J25" s="109"/>
      <c r="K25" s="24" t="s">
        <v>93</v>
      </c>
      <c r="L25" s="24"/>
      <c r="M25" s="24"/>
      <c r="N25" s="24"/>
      <c r="O25" s="25"/>
      <c r="P25" s="25">
        <f>P20-P24</f>
        <v>410.3333333333303</v>
      </c>
      <c r="Q25" s="25">
        <f>Q20-Q24</f>
        <v>171.66666666666788</v>
      </c>
      <c r="R25" s="25">
        <f>R20-R24</f>
        <v>184.99999999999818</v>
      </c>
      <c r="S25" s="25">
        <f>S20-S24</f>
        <v>-316.99999999999909</v>
      </c>
    </row>
    <row r="26" spans="1:19" ht="16.5" customHeight="1" x14ac:dyDescent="0.2">
      <c r="A26" s="229" t="s">
        <v>175</v>
      </c>
      <c r="B26" s="167"/>
      <c r="C26" s="167"/>
      <c r="D26" s="370">
        <v>0.4</v>
      </c>
      <c r="E26" s="15"/>
      <c r="F26" s="57">
        <f>$D$26*F25</f>
        <v>135.33333333333212</v>
      </c>
      <c r="G26" s="57">
        <f>$D$26*G25</f>
        <v>-3.3333333333328485</v>
      </c>
      <c r="H26" s="57">
        <f>$D$26*H25</f>
        <v>109.99999999999928</v>
      </c>
      <c r="I26" s="57">
        <f>$D$26*I25</f>
        <v>-61.999999999999638</v>
      </c>
      <c r="J26" s="109"/>
      <c r="K26" s="24" t="s">
        <v>176</v>
      </c>
      <c r="L26" s="24"/>
      <c r="M26" s="24"/>
      <c r="N26" s="21"/>
      <c r="O26" s="25"/>
      <c r="P26" s="339">
        <f>$D$26*P25</f>
        <v>164.13333333333213</v>
      </c>
      <c r="Q26" s="339">
        <f>$D$26*Q25</f>
        <v>68.666666666667155</v>
      </c>
      <c r="R26" s="339">
        <f>$D$26*R25</f>
        <v>73.999999999999275</v>
      </c>
      <c r="S26" s="339">
        <f>$D$26*S25</f>
        <v>-126.79999999999964</v>
      </c>
    </row>
    <row r="27" spans="1:19" ht="16.5" customHeight="1" x14ac:dyDescent="0.2">
      <c r="A27" s="229" t="s">
        <v>177</v>
      </c>
      <c r="B27" s="167"/>
      <c r="C27" s="167"/>
      <c r="D27" s="167"/>
      <c r="E27" s="15"/>
      <c r="F27" s="15">
        <f>F25-F26</f>
        <v>202.99999999999818</v>
      </c>
      <c r="G27" s="15">
        <f>G25-G26</f>
        <v>-4.9999999999992717</v>
      </c>
      <c r="H27" s="15">
        <f>H25-H26</f>
        <v>164.99999999999892</v>
      </c>
      <c r="I27" s="48">
        <f>I25-I26</f>
        <v>-92.99999999999946</v>
      </c>
      <c r="J27" s="109"/>
      <c r="K27" s="24" t="str">
        <f>A27</f>
        <v>EBIT (1 − T) = After-tax project operating income</v>
      </c>
      <c r="L27" s="24"/>
      <c r="M27" s="24"/>
      <c r="N27" s="24"/>
      <c r="O27" s="25"/>
      <c r="P27" s="340">
        <f>P25-P26</f>
        <v>246.19999999999817</v>
      </c>
      <c r="Q27" s="340">
        <f>Q25-Q26</f>
        <v>103.00000000000072</v>
      </c>
      <c r="R27" s="340">
        <f>R25-R26</f>
        <v>110.99999999999891</v>
      </c>
      <c r="S27" s="340">
        <f>S25-S26</f>
        <v>-190.19999999999945</v>
      </c>
    </row>
    <row r="28" spans="1:19" ht="16.5" customHeight="1" x14ac:dyDescent="0.2">
      <c r="A28" s="229" t="s">
        <v>20</v>
      </c>
      <c r="B28" s="167"/>
      <c r="C28" s="167"/>
      <c r="D28" s="167"/>
      <c r="E28" s="15"/>
      <c r="F28" s="57">
        <f>F23</f>
        <v>297</v>
      </c>
      <c r="G28" s="57">
        <f>G23</f>
        <v>405</v>
      </c>
      <c r="H28" s="57">
        <f>H23</f>
        <v>135</v>
      </c>
      <c r="I28" s="371">
        <f>I23</f>
        <v>63.000000000000007</v>
      </c>
      <c r="J28" s="109"/>
      <c r="K28" s="24" t="s">
        <v>20</v>
      </c>
      <c r="L28" s="24"/>
      <c r="M28" s="24"/>
      <c r="N28" s="24"/>
      <c r="O28" s="340"/>
      <c r="P28" s="339">
        <f>P23</f>
        <v>225</v>
      </c>
      <c r="Q28" s="339">
        <f>Q23</f>
        <v>225</v>
      </c>
      <c r="R28" s="339">
        <f>R23</f>
        <v>225</v>
      </c>
      <c r="S28" s="339">
        <f>S23</f>
        <v>225</v>
      </c>
    </row>
    <row r="29" spans="1:19" ht="16.5" customHeight="1" x14ac:dyDescent="0.2">
      <c r="A29" s="387" t="s">
        <v>190</v>
      </c>
      <c r="B29" s="384"/>
      <c r="C29" s="384"/>
      <c r="D29" s="384"/>
      <c r="E29" s="385"/>
      <c r="F29" s="385">
        <f>F27+F28</f>
        <v>499.99999999999818</v>
      </c>
      <c r="G29" s="385">
        <f>G27+G28</f>
        <v>400.00000000000074</v>
      </c>
      <c r="H29" s="385">
        <f>H27+H28</f>
        <v>299.99999999999892</v>
      </c>
      <c r="I29" s="388">
        <f>I27+I28</f>
        <v>-29.999999999999453</v>
      </c>
      <c r="J29" s="109"/>
      <c r="K29" s="24" t="str">
        <f>A29</f>
        <v>EBIT (1 − T) + Depreciation</v>
      </c>
      <c r="L29" s="24"/>
      <c r="M29" s="24"/>
      <c r="N29" s="24"/>
      <c r="O29" s="24"/>
      <c r="P29" s="25">
        <f>P27+P28</f>
        <v>471.19999999999817</v>
      </c>
      <c r="Q29" s="25">
        <f>Q27+Q28</f>
        <v>328.00000000000074</v>
      </c>
      <c r="R29" s="25">
        <f>R27+R28</f>
        <v>335.99999999999892</v>
      </c>
      <c r="S29" s="25">
        <f>S27+S28</f>
        <v>34.800000000000551</v>
      </c>
    </row>
    <row r="30" spans="1:19" ht="16.5" customHeight="1" x14ac:dyDescent="0.2">
      <c r="A30" s="360" t="s">
        <v>178</v>
      </c>
      <c r="B30" s="167"/>
      <c r="C30" s="167"/>
      <c r="D30" s="167"/>
      <c r="E30" s="15"/>
      <c r="F30" s="15"/>
      <c r="G30" s="15"/>
      <c r="H30" s="15"/>
      <c r="I30" s="48"/>
      <c r="J30" s="109"/>
      <c r="K30" s="341" t="s">
        <v>178</v>
      </c>
      <c r="L30" s="24"/>
      <c r="M30" s="24"/>
      <c r="N30" s="24"/>
      <c r="O30" s="24"/>
      <c r="P30" s="24"/>
      <c r="Q30" s="24"/>
      <c r="R30" s="24"/>
      <c r="S30" s="24"/>
    </row>
    <row r="31" spans="1:19" ht="16.5" customHeight="1" x14ac:dyDescent="0.2">
      <c r="A31" s="229" t="s">
        <v>98</v>
      </c>
      <c r="B31" s="167"/>
      <c r="C31" s="167"/>
      <c r="D31" s="167"/>
      <c r="E31" s="15"/>
      <c r="F31" s="15"/>
      <c r="G31" s="15"/>
      <c r="H31" s="15"/>
      <c r="I31" s="193">
        <v>50</v>
      </c>
      <c r="J31" s="109"/>
      <c r="K31" s="24" t="str">
        <f>A31</f>
        <v>Salvage value (taxed as ordinary income)</v>
      </c>
      <c r="L31" s="24"/>
      <c r="M31" s="24"/>
      <c r="N31" s="25"/>
      <c r="O31" s="340"/>
      <c r="P31" s="340"/>
      <c r="Q31" s="340"/>
      <c r="R31" s="340"/>
      <c r="S31" s="342">
        <f>I31</f>
        <v>50</v>
      </c>
    </row>
    <row r="32" spans="1:19" ht="29.25" customHeight="1" x14ac:dyDescent="0.2">
      <c r="A32" s="642" t="s">
        <v>99</v>
      </c>
      <c r="B32" s="664"/>
      <c r="C32" s="664"/>
      <c r="D32" s="664"/>
      <c r="E32" s="15"/>
      <c r="F32" s="15"/>
      <c r="G32" s="15"/>
      <c r="H32" s="15"/>
      <c r="I32" s="371">
        <f>I31*D26</f>
        <v>20</v>
      </c>
      <c r="J32" s="109"/>
      <c r="K32" s="639" t="s">
        <v>179</v>
      </c>
      <c r="L32" s="639"/>
      <c r="M32" s="639"/>
      <c r="N32" s="639"/>
      <c r="O32" s="340"/>
      <c r="P32" s="340"/>
      <c r="Q32" s="340"/>
      <c r="R32" s="340"/>
      <c r="S32" s="339">
        <f>I32</f>
        <v>20</v>
      </c>
    </row>
    <row r="33" spans="1:19" ht="16.5" customHeight="1" x14ac:dyDescent="0.2">
      <c r="A33" s="389" t="s">
        <v>100</v>
      </c>
      <c r="B33" s="385"/>
      <c r="C33" s="385"/>
      <c r="D33" s="385"/>
      <c r="E33" s="385"/>
      <c r="F33" s="385"/>
      <c r="G33" s="385"/>
      <c r="H33" s="385"/>
      <c r="I33" s="390">
        <f>I31-I32</f>
        <v>30</v>
      </c>
      <c r="J33" s="109"/>
      <c r="K33" s="24" t="str">
        <f>A33</f>
        <v>After-tax salvage value</v>
      </c>
      <c r="L33" s="24"/>
      <c r="M33" s="24"/>
      <c r="N33" s="24"/>
      <c r="O33" s="24"/>
      <c r="P33" s="24"/>
      <c r="Q33" s="24"/>
      <c r="R33" s="24"/>
      <c r="S33" s="332">
        <f>S31-S32</f>
        <v>30</v>
      </c>
    </row>
    <row r="34" spans="1:19" ht="30" customHeight="1" x14ac:dyDescent="0.2">
      <c r="A34" s="637" t="s">
        <v>191</v>
      </c>
      <c r="B34" s="638"/>
      <c r="C34" s="638"/>
      <c r="D34" s="638"/>
      <c r="E34" s="385"/>
      <c r="F34" s="385"/>
      <c r="G34" s="385"/>
      <c r="H34" s="385"/>
      <c r="I34" s="390">
        <f>-E15</f>
        <v>100</v>
      </c>
      <c r="J34" s="109"/>
      <c r="K34" s="639" t="str">
        <f>A34</f>
        <v>ΔNOWC = Recovery of net operating 
                 working capital</v>
      </c>
      <c r="L34" s="639"/>
      <c r="M34" s="639"/>
      <c r="N34" s="639"/>
      <c r="O34" s="343"/>
      <c r="P34" s="343"/>
      <c r="Q34" s="343"/>
      <c r="R34" s="343"/>
      <c r="S34" s="339">
        <f>I34</f>
        <v>100</v>
      </c>
    </row>
    <row r="35" spans="1:19" ht="25.5" customHeight="1" thickBot="1" x14ac:dyDescent="0.25">
      <c r="A35" s="642" t="s">
        <v>180</v>
      </c>
      <c r="B35" s="643"/>
      <c r="C35" s="643"/>
      <c r="D35" s="643"/>
      <c r="E35" s="372">
        <f>SUM(E14:E15)</f>
        <v>-1000</v>
      </c>
      <c r="F35" s="373">
        <f>F29</f>
        <v>499.99999999999818</v>
      </c>
      <c r="G35" s="373">
        <f>G29</f>
        <v>400.00000000000074</v>
      </c>
      <c r="H35" s="373">
        <f>H29</f>
        <v>299.99999999999892</v>
      </c>
      <c r="I35" s="374">
        <f>I29+I33+I34</f>
        <v>100.00000000000054</v>
      </c>
      <c r="J35" s="180"/>
      <c r="K35" s="639" t="str">
        <f>A35</f>
        <v>Project free cash flows = EBIT(1 − T) + DEP 
                                        − CAPEX − ΔNOWC</v>
      </c>
      <c r="L35" s="639"/>
      <c r="M35" s="639"/>
      <c r="N35" s="639"/>
      <c r="O35" s="344">
        <f>SUM(O14:O15)</f>
        <v>-1000</v>
      </c>
      <c r="P35" s="344">
        <f>P29</f>
        <v>471.19999999999817</v>
      </c>
      <c r="Q35" s="344">
        <f>Q29</f>
        <v>328.00000000000074</v>
      </c>
      <c r="R35" s="344">
        <f>R29</f>
        <v>335.99999999999892</v>
      </c>
      <c r="S35" s="344">
        <f>S29+S33+S34</f>
        <v>164.80000000000055</v>
      </c>
    </row>
    <row r="36" spans="1:19" ht="16.5" customHeight="1" thickTop="1" x14ac:dyDescent="0.2">
      <c r="A36" s="232"/>
      <c r="B36" s="233"/>
      <c r="C36" s="233"/>
      <c r="D36" s="233"/>
      <c r="E36" s="375"/>
      <c r="F36" s="376"/>
      <c r="G36" s="376"/>
      <c r="H36" s="376"/>
      <c r="I36" s="377"/>
      <c r="J36" s="180"/>
      <c r="K36" s="22"/>
      <c r="L36" s="22"/>
      <c r="M36" s="22"/>
      <c r="N36" s="22"/>
      <c r="O36" s="22"/>
      <c r="P36" s="22"/>
      <c r="Q36" s="22"/>
      <c r="R36" s="22"/>
      <c r="S36" s="22"/>
    </row>
    <row r="37" spans="1:19" ht="16.5" customHeight="1" x14ac:dyDescent="0.2">
      <c r="A37" s="401" t="s">
        <v>193</v>
      </c>
      <c r="B37" s="402"/>
      <c r="C37" s="402"/>
      <c r="D37" s="403" t="s">
        <v>108</v>
      </c>
      <c r="E37" s="404"/>
      <c r="F37" s="405">
        <v>1</v>
      </c>
      <c r="G37" s="405">
        <v>2</v>
      </c>
      <c r="H37" s="405">
        <v>3</v>
      </c>
      <c r="I37" s="406">
        <v>4</v>
      </c>
      <c r="J37" s="109"/>
      <c r="K37" s="340"/>
      <c r="L37" s="88"/>
      <c r="M37" s="88"/>
      <c r="N37" s="345"/>
      <c r="O37" s="331"/>
      <c r="P37" s="331"/>
      <c r="Q37" s="331"/>
      <c r="R37" s="331"/>
      <c r="S37" s="331"/>
    </row>
    <row r="38" spans="1:19" ht="16.5" customHeight="1" x14ac:dyDescent="0.2">
      <c r="A38" s="407"/>
      <c r="B38" s="396" t="s">
        <v>104</v>
      </c>
      <c r="C38" s="408">
        <f>-E14</f>
        <v>900</v>
      </c>
      <c r="D38" s="409" t="s">
        <v>181</v>
      </c>
      <c r="E38" s="410"/>
      <c r="F38" s="411">
        <v>0.33</v>
      </c>
      <c r="G38" s="411">
        <v>0.45</v>
      </c>
      <c r="H38" s="411">
        <v>0.15</v>
      </c>
      <c r="I38" s="412">
        <v>7.0000000000000007E-2</v>
      </c>
      <c r="J38" s="109"/>
      <c r="K38" s="88"/>
      <c r="L38" s="346"/>
      <c r="M38" s="208"/>
      <c r="N38" s="208"/>
      <c r="O38" s="208"/>
      <c r="P38" s="208"/>
      <c r="Q38" s="347"/>
      <c r="R38" s="347"/>
      <c r="S38" s="347"/>
    </row>
    <row r="39" spans="1:19" ht="16.5" customHeight="1" thickBot="1" x14ac:dyDescent="0.25">
      <c r="A39" s="413"/>
      <c r="B39" s="414"/>
      <c r="C39" s="415"/>
      <c r="D39" s="416" t="s">
        <v>182</v>
      </c>
      <c r="E39" s="415"/>
      <c r="F39" s="417">
        <f>$C$38*F38</f>
        <v>297</v>
      </c>
      <c r="G39" s="417">
        <f>$C$38*G38</f>
        <v>405</v>
      </c>
      <c r="H39" s="417">
        <f>$C$38*H38</f>
        <v>135</v>
      </c>
      <c r="I39" s="417">
        <f>$C$38*I38</f>
        <v>63.000000000000007</v>
      </c>
      <c r="J39" s="109"/>
      <c r="K39" s="340"/>
      <c r="L39" s="88"/>
      <c r="M39" s="88"/>
      <c r="N39" s="88"/>
      <c r="O39" s="348"/>
      <c r="P39" s="349"/>
      <c r="Q39" s="349"/>
      <c r="R39" s="349"/>
      <c r="S39" s="349"/>
    </row>
    <row r="40" spans="1:19" ht="16.5" customHeight="1" x14ac:dyDescent="0.2">
      <c r="A40" s="418" t="s">
        <v>183</v>
      </c>
      <c r="B40" s="419"/>
      <c r="C40" s="420"/>
      <c r="D40" s="421" t="s">
        <v>184</v>
      </c>
      <c r="E40" s="422"/>
      <c r="F40" s="423">
        <f>F37</f>
        <v>1</v>
      </c>
      <c r="G40" s="423">
        <f>2</f>
        <v>2</v>
      </c>
      <c r="H40" s="423">
        <f>3</f>
        <v>3</v>
      </c>
      <c r="I40" s="424">
        <f>4</f>
        <v>4</v>
      </c>
      <c r="J40" s="109"/>
      <c r="K40" s="88"/>
      <c r="L40" s="88"/>
      <c r="M40" s="88"/>
      <c r="N40" s="345"/>
      <c r="O40" s="88"/>
      <c r="P40" s="349"/>
      <c r="Q40" s="349"/>
      <c r="R40" s="349"/>
      <c r="S40" s="349"/>
    </row>
    <row r="41" spans="1:19" ht="16.5" customHeight="1" x14ac:dyDescent="0.2">
      <c r="A41" s="425"/>
      <c r="B41" s="426" t="s">
        <v>104</v>
      </c>
      <c r="C41" s="427">
        <f>C38</f>
        <v>900</v>
      </c>
      <c r="D41" s="391" t="s">
        <v>181</v>
      </c>
      <c r="E41" s="391"/>
      <c r="F41" s="428">
        <v>0.25</v>
      </c>
      <c r="G41" s="428">
        <f>F41</f>
        <v>0.25</v>
      </c>
      <c r="H41" s="428">
        <f>G41</f>
        <v>0.25</v>
      </c>
      <c r="I41" s="429">
        <f>H41</f>
        <v>0.25</v>
      </c>
      <c r="J41" s="109"/>
      <c r="K41" s="88"/>
      <c r="L41" s="88"/>
      <c r="M41" s="88"/>
      <c r="N41" s="88"/>
      <c r="O41" s="88"/>
      <c r="P41" s="350"/>
      <c r="Q41" s="350"/>
      <c r="R41" s="350"/>
      <c r="S41" s="350"/>
    </row>
    <row r="42" spans="1:19" ht="16.5" customHeight="1" thickBot="1" x14ac:dyDescent="0.25">
      <c r="A42" s="430"/>
      <c r="B42" s="431"/>
      <c r="C42" s="431"/>
      <c r="D42" s="431" t="s">
        <v>182</v>
      </c>
      <c r="E42" s="431"/>
      <c r="F42" s="432">
        <f>-$E$14*F41</f>
        <v>225</v>
      </c>
      <c r="G42" s="432">
        <f>-$E$14*G41</f>
        <v>225</v>
      </c>
      <c r="H42" s="432">
        <f>-$E$14*H41</f>
        <v>225</v>
      </c>
      <c r="I42" s="432">
        <f>-$E$14*I41</f>
        <v>225</v>
      </c>
      <c r="J42" s="109"/>
      <c r="K42" s="351"/>
      <c r="L42" s="88"/>
      <c r="M42" s="88"/>
      <c r="N42" s="88"/>
      <c r="O42" s="88"/>
      <c r="P42" s="349"/>
      <c r="Q42" s="349"/>
      <c r="R42" s="349"/>
      <c r="S42" s="349"/>
    </row>
    <row r="43" spans="1:19" ht="16.5" customHeight="1" thickBot="1" x14ac:dyDescent="0.25">
      <c r="A43" s="378" t="s">
        <v>185</v>
      </c>
      <c r="B43" s="167"/>
      <c r="C43" s="167"/>
      <c r="D43" s="379">
        <v>0.1</v>
      </c>
      <c r="E43" s="380"/>
      <c r="F43" s="381"/>
      <c r="G43" s="381"/>
      <c r="H43" s="381"/>
      <c r="I43" s="382"/>
      <c r="J43" s="109"/>
      <c r="K43" s="77"/>
      <c r="L43" s="88"/>
      <c r="M43" s="88"/>
      <c r="N43" s="88"/>
      <c r="O43" s="88"/>
      <c r="P43" s="349"/>
      <c r="Q43" s="349"/>
      <c r="R43" s="349"/>
      <c r="S43" s="349"/>
    </row>
    <row r="44" spans="1:19" ht="16.5" customHeight="1" thickBot="1" x14ac:dyDescent="0.25">
      <c r="A44" s="229"/>
      <c r="B44" s="167"/>
      <c r="C44" s="397" t="s">
        <v>108</v>
      </c>
      <c r="D44" s="644" t="s">
        <v>186</v>
      </c>
      <c r="E44" s="645"/>
      <c r="F44" s="646"/>
      <c r="G44" s="647" t="s">
        <v>184</v>
      </c>
      <c r="H44" s="648"/>
      <c r="I44" s="230"/>
      <c r="J44" s="109"/>
      <c r="K44" s="352"/>
      <c r="L44" s="24"/>
      <c r="M44" s="24"/>
      <c r="N44" s="353"/>
      <c r="O44" s="88"/>
      <c r="P44" s="88"/>
      <c r="Q44" s="88"/>
      <c r="R44" s="88"/>
      <c r="S44" s="88"/>
    </row>
    <row r="45" spans="1:19" ht="16.5" customHeight="1" thickBot="1" x14ac:dyDescent="0.25">
      <c r="A45" s="383"/>
      <c r="B45" s="392" t="s">
        <v>109</v>
      </c>
      <c r="C45" s="398">
        <f>NPV(D43,F35:I35)+E35</f>
        <v>78.819752749127474</v>
      </c>
      <c r="D45" s="649" t="s">
        <v>250</v>
      </c>
      <c r="E45" s="650"/>
      <c r="F45" s="651"/>
      <c r="G45" s="652">
        <f>NPV(D43,P35:S35)+O35</f>
        <v>64.440407076017664</v>
      </c>
      <c r="H45" s="653"/>
      <c r="I45" s="230"/>
      <c r="J45" s="109"/>
      <c r="K45" s="352"/>
      <c r="L45" s="24"/>
      <c r="M45" s="88"/>
      <c r="N45" s="353"/>
      <c r="O45" s="88"/>
      <c r="P45" s="88"/>
      <c r="Q45" s="88"/>
      <c r="R45" s="88"/>
      <c r="S45" s="88"/>
    </row>
    <row r="46" spans="1:19" ht="16.5" customHeight="1" thickBot="1" x14ac:dyDescent="0.25">
      <c r="A46" s="383"/>
      <c r="B46" s="393" t="s">
        <v>21</v>
      </c>
      <c r="C46" s="399">
        <f>IRR(E35:I35)</f>
        <v>0.14488844278532076</v>
      </c>
      <c r="D46" s="654" t="s">
        <v>251</v>
      </c>
      <c r="E46" s="655"/>
      <c r="F46" s="395"/>
      <c r="G46" s="656">
        <f>IRR(O35:S35)</f>
        <v>0.13436544658301397</v>
      </c>
      <c r="H46" s="657"/>
      <c r="I46" s="230"/>
      <c r="J46" s="109"/>
      <c r="K46" s="352"/>
      <c r="L46" s="24"/>
      <c r="M46" s="88"/>
      <c r="N46" s="353"/>
      <c r="O46" s="88"/>
      <c r="P46" s="88"/>
      <c r="Q46" s="88"/>
      <c r="R46" s="88"/>
      <c r="S46" s="88"/>
    </row>
    <row r="47" spans="1:19" ht="16.5" customHeight="1" thickBot="1" x14ac:dyDescent="0.25">
      <c r="A47" s="383"/>
      <c r="B47" s="393" t="s">
        <v>22</v>
      </c>
      <c r="C47" s="399">
        <f>MIRR(E35:I35,D43,D43)</f>
        <v>0.12106271186727291</v>
      </c>
      <c r="D47" s="654" t="s">
        <v>252</v>
      </c>
      <c r="E47" s="655"/>
      <c r="F47" s="658"/>
      <c r="G47" s="656">
        <f>MIRR(O35:S35,D43,D43)</f>
        <v>0.11730829560262857</v>
      </c>
      <c r="H47" s="657"/>
      <c r="I47" s="230"/>
      <c r="J47" s="109"/>
      <c r="K47" s="352"/>
      <c r="L47" s="24"/>
      <c r="M47" s="88"/>
      <c r="N47" s="353"/>
      <c r="O47" s="340"/>
      <c r="P47" s="340"/>
      <c r="Q47" s="340"/>
      <c r="R47" s="340"/>
      <c r="S47" s="340"/>
    </row>
    <row r="48" spans="1:19" ht="16.5" customHeight="1" thickBot="1" x14ac:dyDescent="0.25">
      <c r="A48" s="383"/>
      <c r="B48" s="394" t="s">
        <v>110</v>
      </c>
      <c r="C48" s="400">
        <f>G12+(-E35-F35-G35)/H35</f>
        <v>2.3333333333333384</v>
      </c>
      <c r="D48" s="659" t="s">
        <v>253</v>
      </c>
      <c r="E48" s="660"/>
      <c r="F48" s="661"/>
      <c r="G48" s="640">
        <f>Q12+(-O35-P35-Q35)/R35</f>
        <v>2.5976190476190526</v>
      </c>
      <c r="H48" s="641"/>
      <c r="I48" s="230"/>
      <c r="J48" s="109"/>
      <c r="K48" s="352"/>
      <c r="L48" s="24"/>
      <c r="M48" s="88"/>
      <c r="N48" s="353"/>
      <c r="O48" s="88"/>
      <c r="P48" s="354"/>
      <c r="Q48" s="88"/>
      <c r="R48" s="88"/>
      <c r="S48" s="88"/>
    </row>
    <row r="49" spans="1:19" ht="78.75" customHeight="1" x14ac:dyDescent="0.2">
      <c r="A49" s="629" t="s">
        <v>286</v>
      </c>
      <c r="B49" s="630"/>
      <c r="C49" s="630"/>
      <c r="D49" s="630"/>
      <c r="E49" s="630"/>
      <c r="F49" s="630"/>
      <c r="G49" s="630"/>
      <c r="H49" s="630"/>
      <c r="I49" s="631"/>
      <c r="J49" s="352"/>
      <c r="K49" s="352"/>
      <c r="L49" s="24"/>
      <c r="M49" s="24"/>
      <c r="N49" s="24"/>
      <c r="O49" s="24"/>
      <c r="P49" s="355"/>
      <c r="Q49" s="24"/>
      <c r="R49" s="24"/>
      <c r="S49" s="24"/>
    </row>
    <row r="50" spans="1:19" ht="38.25" customHeight="1" x14ac:dyDescent="0.2">
      <c r="A50" s="629" t="s">
        <v>187</v>
      </c>
      <c r="B50" s="632"/>
      <c r="C50" s="632"/>
      <c r="D50" s="632"/>
      <c r="E50" s="632"/>
      <c r="F50" s="632"/>
      <c r="G50" s="632"/>
      <c r="H50" s="632"/>
      <c r="I50" s="633"/>
      <c r="J50" s="24"/>
      <c r="K50" s="24"/>
      <c r="L50" s="24"/>
      <c r="M50" s="24"/>
      <c r="N50" s="24"/>
      <c r="O50" s="24"/>
      <c r="P50" s="24"/>
      <c r="Q50" s="24"/>
      <c r="R50" s="24"/>
      <c r="S50" s="24"/>
    </row>
    <row r="51" spans="1:19" ht="40.5" customHeight="1" x14ac:dyDescent="0.2">
      <c r="A51" s="629" t="s">
        <v>197</v>
      </c>
      <c r="B51" s="632"/>
      <c r="C51" s="632"/>
      <c r="D51" s="632"/>
      <c r="E51" s="632"/>
      <c r="F51" s="632"/>
      <c r="G51" s="632"/>
      <c r="H51" s="632"/>
      <c r="I51" s="633"/>
      <c r="J51" s="24"/>
      <c r="K51" s="24"/>
      <c r="L51" s="24"/>
      <c r="M51" s="24"/>
      <c r="N51" s="24"/>
      <c r="O51" s="24"/>
      <c r="P51" s="24"/>
      <c r="Q51" s="24"/>
      <c r="R51" s="24"/>
      <c r="S51" s="24"/>
    </row>
    <row r="52" spans="1:19" ht="42" customHeight="1" x14ac:dyDescent="0.2">
      <c r="A52" s="634" t="s">
        <v>188</v>
      </c>
      <c r="B52" s="635"/>
      <c r="C52" s="635"/>
      <c r="D52" s="635"/>
      <c r="E52" s="635"/>
      <c r="F52" s="635"/>
      <c r="G52" s="635"/>
      <c r="H52" s="635"/>
      <c r="I52" s="636"/>
      <c r="J52" s="1"/>
      <c r="K52" s="9"/>
      <c r="L52" s="10"/>
      <c r="M52" s="10"/>
      <c r="N52" s="10"/>
      <c r="O52" s="10"/>
      <c r="P52" s="10"/>
      <c r="Q52" s="10"/>
      <c r="R52" s="10"/>
      <c r="S52" s="10"/>
    </row>
    <row r="53" spans="1:19" ht="16.5" customHeight="1" x14ac:dyDescent="0.2">
      <c r="J53" s="1"/>
      <c r="K53" s="9"/>
      <c r="L53" s="10"/>
      <c r="M53" s="10"/>
      <c r="N53" s="10"/>
      <c r="O53" s="10"/>
      <c r="P53" s="10"/>
      <c r="Q53" s="10"/>
      <c r="R53" s="10"/>
      <c r="S53" s="10"/>
    </row>
    <row r="54" spans="1:19" ht="86.25" customHeight="1" x14ac:dyDescent="0.2">
      <c r="A54" s="627" t="s">
        <v>194</v>
      </c>
      <c r="B54" s="628"/>
      <c r="C54" s="628"/>
      <c r="D54" s="628"/>
      <c r="E54" s="628"/>
      <c r="F54" s="628"/>
      <c r="G54" s="628"/>
      <c r="H54" s="628"/>
      <c r="I54" s="628"/>
      <c r="J54" s="1"/>
      <c r="K54" s="9"/>
      <c r="L54" s="10"/>
      <c r="M54" s="10"/>
      <c r="N54" s="10"/>
      <c r="O54" s="10"/>
      <c r="P54" s="10"/>
      <c r="Q54" s="10"/>
      <c r="R54" s="10"/>
      <c r="S54" s="10"/>
    </row>
    <row r="55" spans="1:19" ht="16.5" customHeight="1" x14ac:dyDescent="0.2">
      <c r="J55" s="1"/>
      <c r="K55" s="9"/>
      <c r="L55" s="10"/>
      <c r="M55" s="10"/>
      <c r="N55" s="10"/>
      <c r="O55" s="10"/>
      <c r="P55" s="10"/>
      <c r="Q55" s="10"/>
      <c r="R55" s="10"/>
      <c r="S55" s="10"/>
    </row>
    <row r="56" spans="1:19" x14ac:dyDescent="0.2">
      <c r="A56" s="13"/>
      <c r="B56" s="1"/>
      <c r="C56" s="1"/>
      <c r="D56" s="1"/>
      <c r="E56" s="1"/>
      <c r="F56" s="1"/>
      <c r="G56" s="1"/>
      <c r="H56" s="1"/>
      <c r="I56" s="1"/>
      <c r="J56" s="1"/>
    </row>
    <row r="57" spans="1:19" x14ac:dyDescent="0.2">
      <c r="A57" s="13"/>
      <c r="B57" s="1"/>
      <c r="C57" s="1"/>
      <c r="D57" s="1"/>
      <c r="E57" s="1"/>
      <c r="F57" s="1"/>
      <c r="G57" s="1"/>
      <c r="H57" s="1"/>
      <c r="I57" s="1"/>
      <c r="J57" s="1"/>
    </row>
    <row r="58" spans="1:19" x14ac:dyDescent="0.2">
      <c r="A58" s="13"/>
      <c r="B58" s="1"/>
      <c r="C58" s="1"/>
      <c r="D58" s="1"/>
      <c r="E58" s="1"/>
      <c r="F58" s="1"/>
      <c r="G58" s="1"/>
      <c r="H58" s="1"/>
      <c r="I58" s="1"/>
      <c r="J58" s="1"/>
    </row>
    <row r="59" spans="1:19" s="1" customFormat="1" x14ac:dyDescent="0.2">
      <c r="A59" s="13"/>
    </row>
    <row r="60" spans="1:19" x14ac:dyDescent="0.2">
      <c r="A60" s="13"/>
      <c r="B60" s="1"/>
      <c r="C60" s="1"/>
      <c r="D60" s="1"/>
      <c r="E60" s="1"/>
      <c r="F60" s="1"/>
      <c r="G60" s="1"/>
      <c r="H60" s="1"/>
      <c r="I60" s="1"/>
      <c r="J60" s="1"/>
    </row>
    <row r="61" spans="1:19" x14ac:dyDescent="0.2">
      <c r="A61" s="27"/>
    </row>
    <row r="63" spans="1:19" ht="13.5" customHeight="1" x14ac:dyDescent="0.2">
      <c r="A63" s="27"/>
      <c r="B63" s="1"/>
      <c r="C63" s="1"/>
      <c r="D63" s="1"/>
      <c r="E63" s="1"/>
      <c r="F63" s="1"/>
      <c r="G63" s="1"/>
      <c r="H63" s="1"/>
      <c r="I63" s="1"/>
      <c r="J63" s="1"/>
    </row>
    <row r="64" spans="1:19" x14ac:dyDescent="0.2">
      <c r="A64" s="1"/>
      <c r="B64" s="1"/>
      <c r="C64" s="1"/>
      <c r="D64" s="1"/>
      <c r="E64" s="1"/>
      <c r="F64" s="1"/>
      <c r="G64" s="1"/>
      <c r="H64" s="1"/>
      <c r="I64" s="1"/>
      <c r="J64" s="1"/>
    </row>
  </sheetData>
  <mergeCells count="32">
    <mergeCell ref="D1:F1"/>
    <mergeCell ref="A5:I5"/>
    <mergeCell ref="A3:I3"/>
    <mergeCell ref="K8:S8"/>
    <mergeCell ref="A8:I8"/>
    <mergeCell ref="A6:I6"/>
    <mergeCell ref="A9:I9"/>
    <mergeCell ref="K15:N15"/>
    <mergeCell ref="A16:D16"/>
    <mergeCell ref="K16:N16"/>
    <mergeCell ref="A32:D32"/>
    <mergeCell ref="K32:N32"/>
    <mergeCell ref="A34:D34"/>
    <mergeCell ref="K34:N34"/>
    <mergeCell ref="A15:D15"/>
    <mergeCell ref="G48:H48"/>
    <mergeCell ref="A35:D35"/>
    <mergeCell ref="K35:N35"/>
    <mergeCell ref="D44:F44"/>
    <mergeCell ref="G44:H44"/>
    <mergeCell ref="D45:F45"/>
    <mergeCell ref="G45:H45"/>
    <mergeCell ref="D46:E46"/>
    <mergeCell ref="G46:H46"/>
    <mergeCell ref="D47:F47"/>
    <mergeCell ref="G47:H47"/>
    <mergeCell ref="D48:F48"/>
    <mergeCell ref="A54:I54"/>
    <mergeCell ref="A49:I49"/>
    <mergeCell ref="A50:I50"/>
    <mergeCell ref="A51:I51"/>
    <mergeCell ref="A52:I52"/>
  </mergeCells>
  <phoneticPr fontId="0" type="noConversion"/>
  <pageMargins left="0.75" right="0.35" top="1" bottom="1" header="0.5" footer="0.5"/>
  <pageSetup scale="78" orientation="portrait" r:id="rId1"/>
  <headerFooter alignWithMargins="0">
    <oddFooter>Page &amp;P</oddFooter>
  </headerFooter>
  <rowBreaks count="1" manualBreakCount="1">
    <brk id="36" max="8" man="1"/>
  </rowBreaks>
  <ignoredErrors>
    <ignoredError sqref="P20:S20 S33"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5"/>
  <sheetViews>
    <sheetView zoomScaleNormal="100" zoomScaleSheetLayoutView="100" workbookViewId="0"/>
  </sheetViews>
  <sheetFormatPr defaultRowHeight="12.75" x14ac:dyDescent="0.2"/>
  <cols>
    <col min="2" max="2" width="9.28515625" bestFit="1" customWidth="1"/>
    <col min="3" max="3" width="10.28515625" bestFit="1" customWidth="1"/>
    <col min="4" max="4" width="13.42578125" customWidth="1"/>
    <col min="5" max="5" width="11" customWidth="1"/>
    <col min="6" max="9" width="9.42578125" bestFit="1" customWidth="1"/>
    <col min="10" max="10" width="2.5703125" customWidth="1"/>
    <col min="15" max="18" width="9.28515625" bestFit="1" customWidth="1"/>
  </cols>
  <sheetData>
    <row r="1" spans="1:18" x14ac:dyDescent="0.2">
      <c r="A1" s="62" t="s">
        <v>1</v>
      </c>
      <c r="B1" s="62"/>
      <c r="C1" s="62"/>
      <c r="D1" s="665">
        <f ca="1">NOW()</f>
        <v>43139.578702199076</v>
      </c>
      <c r="E1" s="665"/>
      <c r="F1" s="665"/>
      <c r="G1" s="62"/>
      <c r="H1" s="686">
        <f>'12 Chapter model'!I1</f>
        <v>43139</v>
      </c>
      <c r="I1" s="686"/>
    </row>
    <row r="2" spans="1:18" x14ac:dyDescent="0.2">
      <c r="A2" s="62"/>
      <c r="B2" s="62"/>
      <c r="C2" s="62"/>
      <c r="D2" s="433"/>
      <c r="E2" s="433"/>
      <c r="F2" s="433"/>
      <c r="G2" s="62"/>
      <c r="H2" s="63"/>
      <c r="I2" s="64"/>
    </row>
    <row r="3" spans="1:18" ht="15.75" x14ac:dyDescent="0.25">
      <c r="A3" s="678" t="s">
        <v>230</v>
      </c>
      <c r="B3" s="679"/>
      <c r="C3" s="679"/>
      <c r="D3" s="679"/>
      <c r="E3" s="679"/>
      <c r="F3" s="679"/>
      <c r="G3" s="679"/>
      <c r="H3" s="679"/>
      <c r="I3" s="679"/>
      <c r="J3" s="24"/>
    </row>
    <row r="4" spans="1:18" ht="15.75" x14ac:dyDescent="0.25">
      <c r="A4" s="446"/>
      <c r="B4" s="447"/>
      <c r="C4" s="447"/>
      <c r="D4" s="447"/>
      <c r="E4" s="447"/>
      <c r="F4" s="447"/>
      <c r="G4" s="447"/>
      <c r="H4" s="447"/>
      <c r="I4" s="447"/>
    </row>
    <row r="5" spans="1:18" ht="40.5" customHeight="1" x14ac:dyDescent="0.2">
      <c r="A5" s="680" t="s">
        <v>13</v>
      </c>
      <c r="B5" s="680"/>
      <c r="C5" s="680"/>
      <c r="D5" s="680"/>
      <c r="E5" s="680"/>
      <c r="F5" s="680"/>
      <c r="G5" s="680"/>
      <c r="H5" s="680"/>
      <c r="I5" s="680"/>
    </row>
    <row r="7" spans="1:18" ht="39" customHeight="1" x14ac:dyDescent="0.2">
      <c r="A7" s="681" t="s">
        <v>233</v>
      </c>
      <c r="B7" s="681"/>
      <c r="C7" s="681"/>
      <c r="D7" s="681"/>
      <c r="E7" s="681"/>
      <c r="F7" s="681"/>
      <c r="G7" s="681"/>
      <c r="H7" s="681"/>
      <c r="I7" s="681"/>
    </row>
    <row r="8" spans="1:18" ht="15.75" x14ac:dyDescent="0.25">
      <c r="A8" s="446"/>
      <c r="B8" s="447"/>
      <c r="C8" s="447"/>
      <c r="D8" s="447"/>
      <c r="E8" s="447"/>
      <c r="F8" s="447"/>
      <c r="G8" s="447"/>
      <c r="H8" s="447"/>
      <c r="I8" s="447"/>
    </row>
    <row r="9" spans="1:18" ht="15.75" x14ac:dyDescent="0.25">
      <c r="A9" s="446"/>
      <c r="B9" s="447"/>
      <c r="C9" s="447"/>
      <c r="D9" s="447"/>
      <c r="E9" s="447"/>
      <c r="F9" s="447"/>
      <c r="G9" s="447"/>
      <c r="H9" s="447"/>
      <c r="I9" s="447"/>
    </row>
    <row r="10" spans="1:18" ht="13.5" thickBot="1" x14ac:dyDescent="0.25"/>
    <row r="11" spans="1:18" ht="15" x14ac:dyDescent="0.25">
      <c r="A11" s="525" t="s">
        <v>232</v>
      </c>
      <c r="B11" s="526"/>
      <c r="C11" s="526"/>
      <c r="D11" s="526"/>
      <c r="E11" s="526"/>
      <c r="F11" s="526"/>
      <c r="G11" s="526"/>
      <c r="H11" s="526"/>
      <c r="I11" s="527"/>
      <c r="K11" s="434"/>
    </row>
    <row r="12" spans="1:18" x14ac:dyDescent="0.2">
      <c r="A12" s="521"/>
      <c r="B12" s="522"/>
      <c r="C12" s="522"/>
      <c r="D12" s="522"/>
      <c r="E12" s="523">
        <v>0</v>
      </c>
      <c r="F12" s="523">
        <v>1</v>
      </c>
      <c r="G12" s="523">
        <v>2</v>
      </c>
      <c r="H12" s="523">
        <v>3</v>
      </c>
      <c r="I12" s="524">
        <v>4</v>
      </c>
      <c r="J12" s="137"/>
    </row>
    <row r="13" spans="1:18" ht="27.75" customHeight="1" x14ac:dyDescent="0.2">
      <c r="A13" s="682" t="s">
        <v>198</v>
      </c>
      <c r="B13" s="683"/>
      <c r="C13" s="683"/>
      <c r="D13" s="683"/>
      <c r="E13" s="448"/>
      <c r="F13" s="448"/>
      <c r="G13" s="448"/>
      <c r="H13" s="448"/>
      <c r="I13" s="449"/>
      <c r="J13" s="137"/>
    </row>
    <row r="14" spans="1:18" ht="17.25" customHeight="1" x14ac:dyDescent="0.2">
      <c r="A14" s="450" t="s">
        <v>199</v>
      </c>
      <c r="B14" s="451"/>
      <c r="C14" s="451"/>
      <c r="D14" s="451"/>
      <c r="E14" s="448"/>
      <c r="F14" s="448">
        <v>2500</v>
      </c>
      <c r="G14" s="448">
        <f t="shared" ref="G14:I16" si="0">F14</f>
        <v>2500</v>
      </c>
      <c r="H14" s="448">
        <f t="shared" si="0"/>
        <v>2500</v>
      </c>
      <c r="I14" s="449">
        <f t="shared" si="0"/>
        <v>2500</v>
      </c>
      <c r="J14" s="137"/>
    </row>
    <row r="15" spans="1:18" x14ac:dyDescent="0.2">
      <c r="A15" s="450" t="s">
        <v>200</v>
      </c>
      <c r="B15" s="451"/>
      <c r="C15" s="451"/>
      <c r="D15" s="451"/>
      <c r="E15" s="448"/>
      <c r="F15" s="452">
        <v>1000</v>
      </c>
      <c r="G15" s="452">
        <f t="shared" si="0"/>
        <v>1000</v>
      </c>
      <c r="H15" s="452">
        <f t="shared" si="0"/>
        <v>1000</v>
      </c>
      <c r="I15" s="453">
        <f t="shared" si="0"/>
        <v>1000</v>
      </c>
      <c r="J15" s="137"/>
      <c r="K15" s="167" t="s">
        <v>201</v>
      </c>
      <c r="N15" t="s">
        <v>202</v>
      </c>
      <c r="O15" s="435">
        <f>F15</f>
        <v>1000</v>
      </c>
      <c r="P15" s="435">
        <f>G15</f>
        <v>1000</v>
      </c>
      <c r="Q15" s="435">
        <f>H15</f>
        <v>1000</v>
      </c>
      <c r="R15" s="435">
        <f>I15</f>
        <v>1000</v>
      </c>
    </row>
    <row r="16" spans="1:18" x14ac:dyDescent="0.2">
      <c r="A16" s="450" t="s">
        <v>182</v>
      </c>
      <c r="B16" s="451"/>
      <c r="C16" s="451"/>
      <c r="D16" s="451"/>
      <c r="E16" s="448"/>
      <c r="F16" s="454">
        <v>100</v>
      </c>
      <c r="G16" s="454">
        <f t="shared" si="0"/>
        <v>100</v>
      </c>
      <c r="H16" s="454">
        <f t="shared" si="0"/>
        <v>100</v>
      </c>
      <c r="I16" s="455">
        <f t="shared" si="0"/>
        <v>100</v>
      </c>
      <c r="J16" s="137"/>
      <c r="N16" t="s">
        <v>203</v>
      </c>
      <c r="O16">
        <v>400</v>
      </c>
      <c r="P16">
        <f>O16</f>
        <v>400</v>
      </c>
      <c r="Q16">
        <f>P16</f>
        <v>400</v>
      </c>
      <c r="R16">
        <f>Q16</f>
        <v>400</v>
      </c>
    </row>
    <row r="17" spans="1:19" ht="13.5" thickBot="1" x14ac:dyDescent="0.25">
      <c r="A17" s="450" t="s">
        <v>204</v>
      </c>
      <c r="B17" s="456"/>
      <c r="C17" s="456"/>
      <c r="D17" s="456"/>
      <c r="E17" s="456"/>
      <c r="F17" s="457">
        <f>SUM(F15:F16)</f>
        <v>1100</v>
      </c>
      <c r="G17" s="457">
        <f>SUM(G15:G16)</f>
        <v>1100</v>
      </c>
      <c r="H17" s="457">
        <f>SUM(H15:H16)</f>
        <v>1100</v>
      </c>
      <c r="I17" s="458">
        <f>SUM(I15:I16)</f>
        <v>1100</v>
      </c>
      <c r="J17" s="137"/>
      <c r="N17" t="s">
        <v>205</v>
      </c>
      <c r="O17" s="436">
        <f>O15-O16</f>
        <v>600</v>
      </c>
      <c r="P17" s="436">
        <f>P15-P16</f>
        <v>600</v>
      </c>
      <c r="Q17" s="436">
        <f>Q15-Q16</f>
        <v>600</v>
      </c>
      <c r="R17" s="436">
        <f>R15-R16</f>
        <v>600</v>
      </c>
    </row>
    <row r="18" spans="1:19" ht="13.5" thickTop="1" x14ac:dyDescent="0.2">
      <c r="A18" s="450" t="s">
        <v>93</v>
      </c>
      <c r="B18" s="450"/>
      <c r="C18" s="456"/>
      <c r="D18" s="456"/>
      <c r="E18" s="456"/>
      <c r="F18" s="448">
        <f>F14-F17</f>
        <v>1400</v>
      </c>
      <c r="G18" s="448">
        <f>G14-G17</f>
        <v>1400</v>
      </c>
      <c r="H18" s="448">
        <f>H14-H17</f>
        <v>1400</v>
      </c>
      <c r="I18" s="449">
        <f>I14-I17</f>
        <v>1400</v>
      </c>
      <c r="J18" s="137"/>
    </row>
    <row r="19" spans="1:19" ht="13.5" thickBot="1" x14ac:dyDescent="0.25">
      <c r="A19" s="450" t="s">
        <v>206</v>
      </c>
      <c r="B19" s="459">
        <v>0.4</v>
      </c>
      <c r="C19" s="451"/>
      <c r="D19" s="451"/>
      <c r="E19" s="448"/>
      <c r="F19" s="452">
        <f>0.4*F18</f>
        <v>560</v>
      </c>
      <c r="G19" s="452">
        <f>0.4*G18</f>
        <v>560</v>
      </c>
      <c r="H19" s="452">
        <f>0.4*H18</f>
        <v>560</v>
      </c>
      <c r="I19" s="453">
        <f>0.4*I18</f>
        <v>560</v>
      </c>
      <c r="J19" s="137"/>
    </row>
    <row r="20" spans="1:19" x14ac:dyDescent="0.2">
      <c r="A20" s="450" t="s">
        <v>207</v>
      </c>
      <c r="B20" s="456"/>
      <c r="C20" s="456"/>
      <c r="D20" s="456"/>
      <c r="E20" s="456"/>
      <c r="F20" s="460">
        <f>F18-F19</f>
        <v>840</v>
      </c>
      <c r="G20" s="460">
        <f>G18-G19</f>
        <v>840</v>
      </c>
      <c r="H20" s="460">
        <f>H18-H19</f>
        <v>840</v>
      </c>
      <c r="I20" s="461">
        <f>I18-I19</f>
        <v>840</v>
      </c>
      <c r="J20" s="137"/>
      <c r="O20" s="444">
        <v>1</v>
      </c>
      <c r="P20" s="444">
        <v>2</v>
      </c>
      <c r="Q20" s="444">
        <v>3</v>
      </c>
      <c r="R20" s="445">
        <v>4</v>
      </c>
    </row>
    <row r="21" spans="1:19" x14ac:dyDescent="0.2">
      <c r="A21" s="450" t="s">
        <v>20</v>
      </c>
      <c r="B21" s="451"/>
      <c r="C21" s="456"/>
      <c r="D21" s="456"/>
      <c r="E21" s="456"/>
      <c r="F21" s="452">
        <f>F16</f>
        <v>100</v>
      </c>
      <c r="G21" s="452">
        <f>G16</f>
        <v>100</v>
      </c>
      <c r="H21" s="452">
        <f>H16</f>
        <v>100</v>
      </c>
      <c r="I21" s="453">
        <f>I16</f>
        <v>100</v>
      </c>
      <c r="J21" s="137"/>
      <c r="K21" s="22" t="s">
        <v>106</v>
      </c>
      <c r="N21" t="s">
        <v>202</v>
      </c>
      <c r="O21">
        <v>100</v>
      </c>
      <c r="P21">
        <v>100</v>
      </c>
      <c r="Q21">
        <v>100</v>
      </c>
      <c r="R21">
        <v>100</v>
      </c>
    </row>
    <row r="22" spans="1:19" ht="30" customHeight="1" thickBot="1" x14ac:dyDescent="0.25">
      <c r="A22" s="684" t="s">
        <v>208</v>
      </c>
      <c r="B22" s="685"/>
      <c r="C22" s="685"/>
      <c r="D22" s="685"/>
      <c r="E22" s="462"/>
      <c r="F22" s="463">
        <f>F20+F21</f>
        <v>940</v>
      </c>
      <c r="G22" s="463">
        <f>G20+G21</f>
        <v>940</v>
      </c>
      <c r="H22" s="463">
        <f>H20+H21</f>
        <v>940</v>
      </c>
      <c r="I22" s="464">
        <f>I20+I21</f>
        <v>940</v>
      </c>
      <c r="J22" s="137"/>
      <c r="N22" t="s">
        <v>203</v>
      </c>
      <c r="O22" s="435">
        <f>O29</f>
        <v>660</v>
      </c>
      <c r="P22" s="435">
        <f>P29</f>
        <v>900</v>
      </c>
      <c r="Q22" s="435">
        <f>Q29</f>
        <v>300</v>
      </c>
      <c r="R22" s="435">
        <f>R29</f>
        <v>140</v>
      </c>
    </row>
    <row r="23" spans="1:19" ht="40.5" customHeight="1" thickTop="1" thickBot="1" x14ac:dyDescent="0.25">
      <c r="A23" s="670" t="s">
        <v>209</v>
      </c>
      <c r="B23" s="671"/>
      <c r="C23" s="671"/>
      <c r="D23" s="671"/>
      <c r="E23" s="480"/>
      <c r="F23" s="481"/>
      <c r="G23" s="481"/>
      <c r="H23" s="481"/>
      <c r="I23" s="482"/>
      <c r="J23" s="137"/>
      <c r="N23" t="s">
        <v>205</v>
      </c>
      <c r="O23" s="436">
        <f>O21-O22</f>
        <v>-560</v>
      </c>
      <c r="P23" s="436">
        <f>P21-P22</f>
        <v>-800</v>
      </c>
      <c r="Q23" s="436">
        <f>Q21-Q22</f>
        <v>-200</v>
      </c>
      <c r="R23" s="436">
        <f>R21-R22</f>
        <v>-40</v>
      </c>
    </row>
    <row r="24" spans="1:19" ht="16.5" customHeight="1" thickTop="1" x14ac:dyDescent="0.2">
      <c r="A24" s="483" t="s">
        <v>210</v>
      </c>
      <c r="B24" s="484"/>
      <c r="C24" s="480"/>
      <c r="D24" s="480"/>
      <c r="E24" s="485">
        <f>-2000</f>
        <v>-2000</v>
      </c>
      <c r="F24" s="485"/>
      <c r="G24" s="485"/>
      <c r="H24" s="485"/>
      <c r="I24" s="486"/>
      <c r="J24" s="137"/>
    </row>
    <row r="25" spans="1:19" x14ac:dyDescent="0.2">
      <c r="A25" s="483" t="s">
        <v>211</v>
      </c>
      <c r="B25" s="484"/>
      <c r="C25" s="480"/>
      <c r="D25" s="480"/>
      <c r="E25" s="487">
        <v>400</v>
      </c>
      <c r="F25" s="485"/>
      <c r="G25" s="485"/>
      <c r="H25" s="485"/>
      <c r="I25" s="486"/>
      <c r="J25" s="137"/>
    </row>
    <row r="26" spans="1:19" x14ac:dyDescent="0.2">
      <c r="A26" s="483" t="s">
        <v>212</v>
      </c>
      <c r="B26" s="484"/>
      <c r="C26" s="480"/>
      <c r="D26" s="480"/>
      <c r="E26" s="485">
        <f>E24+E25</f>
        <v>-1600</v>
      </c>
      <c r="F26" s="485"/>
      <c r="G26" s="485"/>
      <c r="H26" s="485"/>
      <c r="I26" s="486"/>
      <c r="J26" s="137"/>
    </row>
    <row r="27" spans="1:19" x14ac:dyDescent="0.2">
      <c r="A27" s="488" t="s">
        <v>199</v>
      </c>
      <c r="B27" s="480"/>
      <c r="C27" s="480"/>
      <c r="D27" s="480"/>
      <c r="E27" s="485"/>
      <c r="F27" s="485">
        <v>2500</v>
      </c>
      <c r="G27" s="485">
        <f t="shared" ref="G27:I28" si="1">F27</f>
        <v>2500</v>
      </c>
      <c r="H27" s="485">
        <f t="shared" si="1"/>
        <v>2500</v>
      </c>
      <c r="I27" s="486">
        <f t="shared" si="1"/>
        <v>2500</v>
      </c>
      <c r="J27" s="137"/>
      <c r="M27" s="437"/>
      <c r="N27" s="86"/>
      <c r="O27" s="438">
        <v>1</v>
      </c>
      <c r="P27" s="438">
        <v>2</v>
      </c>
      <c r="Q27" s="438">
        <v>3</v>
      </c>
      <c r="R27" s="438">
        <v>4</v>
      </c>
    </row>
    <row r="28" spans="1:19" x14ac:dyDescent="0.2">
      <c r="A28" s="488" t="s">
        <v>200</v>
      </c>
      <c r="B28" s="480"/>
      <c r="C28" s="480"/>
      <c r="D28" s="480"/>
      <c r="E28" s="485"/>
      <c r="F28" s="489">
        <v>400</v>
      </c>
      <c r="G28" s="489">
        <f t="shared" si="1"/>
        <v>400</v>
      </c>
      <c r="H28" s="489">
        <f t="shared" si="1"/>
        <v>400</v>
      </c>
      <c r="I28" s="490">
        <f t="shared" si="1"/>
        <v>400</v>
      </c>
      <c r="J28" s="137"/>
      <c r="M28" s="92"/>
      <c r="N28" s="207" t="s">
        <v>213</v>
      </c>
      <c r="O28" s="208">
        <v>0.33</v>
      </c>
      <c r="P28" s="208">
        <v>0.45</v>
      </c>
      <c r="Q28" s="208">
        <v>0.15</v>
      </c>
      <c r="R28" s="208">
        <v>7.0000000000000007E-2</v>
      </c>
    </row>
    <row r="29" spans="1:19" x14ac:dyDescent="0.2">
      <c r="A29" s="488" t="s">
        <v>182</v>
      </c>
      <c r="B29" s="480"/>
      <c r="C29" s="480"/>
      <c r="D29" s="480"/>
      <c r="E29" s="485"/>
      <c r="F29" s="491">
        <f>O22</f>
        <v>660</v>
      </c>
      <c r="G29" s="491">
        <f>P22</f>
        <v>900</v>
      </c>
      <c r="H29" s="491">
        <f>Q22</f>
        <v>300</v>
      </c>
      <c r="I29" s="492">
        <f>R22</f>
        <v>140</v>
      </c>
      <c r="J29" s="137"/>
      <c r="M29" s="92"/>
      <c r="N29" s="207" t="s">
        <v>214</v>
      </c>
      <c r="O29" s="204">
        <f>-$E$24*O28</f>
        <v>660</v>
      </c>
      <c r="P29" s="204">
        <f>-$E$24*P28</f>
        <v>900</v>
      </c>
      <c r="Q29" s="204">
        <f>-$E$24*Q28</f>
        <v>300</v>
      </c>
      <c r="R29" s="204">
        <f>-$E$24*R28</f>
        <v>140</v>
      </c>
      <c r="S29" s="328"/>
    </row>
    <row r="30" spans="1:19" x14ac:dyDescent="0.2">
      <c r="A30" s="488" t="s">
        <v>204</v>
      </c>
      <c r="B30" s="484"/>
      <c r="C30" s="484"/>
      <c r="D30" s="484"/>
      <c r="E30" s="484"/>
      <c r="F30" s="493">
        <f>SUM(F28:F29)</f>
        <v>1060</v>
      </c>
      <c r="G30" s="493">
        <f>SUM(G28:G29)</f>
        <v>1300</v>
      </c>
      <c r="H30" s="493">
        <f>SUM(H28:H29)</f>
        <v>700</v>
      </c>
      <c r="I30" s="494">
        <f>SUM(I28:I29)</f>
        <v>540</v>
      </c>
      <c r="J30" s="137"/>
      <c r="S30" s="328"/>
    </row>
    <row r="31" spans="1:19" x14ac:dyDescent="0.2">
      <c r="A31" s="488" t="s">
        <v>93</v>
      </c>
      <c r="B31" s="488"/>
      <c r="C31" s="484"/>
      <c r="D31" s="484"/>
      <c r="E31" s="484"/>
      <c r="F31" s="485">
        <f>F27-F30</f>
        <v>1440</v>
      </c>
      <c r="G31" s="485">
        <f>G27-G30</f>
        <v>1200</v>
      </c>
      <c r="H31" s="485">
        <f>H27-H30</f>
        <v>1800</v>
      </c>
      <c r="I31" s="486">
        <f>I27-I30</f>
        <v>1960</v>
      </c>
      <c r="J31" s="137"/>
      <c r="S31" s="435"/>
    </row>
    <row r="32" spans="1:19" x14ac:dyDescent="0.2">
      <c r="A32" s="488" t="s">
        <v>206</v>
      </c>
      <c r="B32" s="495">
        <v>0.4</v>
      </c>
      <c r="C32" s="480"/>
      <c r="D32" s="480"/>
      <c r="E32" s="485"/>
      <c r="F32" s="489">
        <f>0.4*F31</f>
        <v>576</v>
      </c>
      <c r="G32" s="489">
        <f>0.4*G31</f>
        <v>480</v>
      </c>
      <c r="H32" s="489">
        <f>0.4*H31</f>
        <v>720</v>
      </c>
      <c r="I32" s="490">
        <f>0.4*I31</f>
        <v>784</v>
      </c>
      <c r="J32" s="137"/>
    </row>
    <row r="33" spans="1:14" x14ac:dyDescent="0.2">
      <c r="A33" s="488" t="s">
        <v>215</v>
      </c>
      <c r="B33" s="484"/>
      <c r="C33" s="484"/>
      <c r="D33" s="484"/>
      <c r="E33" s="484"/>
      <c r="F33" s="496">
        <f>F31-F32</f>
        <v>864</v>
      </c>
      <c r="G33" s="496">
        <f>G31-G32</f>
        <v>720</v>
      </c>
      <c r="H33" s="496">
        <f>H31-H32</f>
        <v>1080</v>
      </c>
      <c r="I33" s="497">
        <f>I31-I32</f>
        <v>1176</v>
      </c>
      <c r="J33" s="137"/>
    </row>
    <row r="34" spans="1:14" x14ac:dyDescent="0.2">
      <c r="A34" s="488" t="s">
        <v>20</v>
      </c>
      <c r="B34" s="480"/>
      <c r="C34" s="484"/>
      <c r="D34" s="484"/>
      <c r="E34" s="484"/>
      <c r="F34" s="489">
        <f>F29</f>
        <v>660</v>
      </c>
      <c r="G34" s="489">
        <f>G29</f>
        <v>900</v>
      </c>
      <c r="H34" s="489">
        <f>H29</f>
        <v>300</v>
      </c>
      <c r="I34" s="490">
        <f>I29</f>
        <v>140</v>
      </c>
      <c r="J34" s="137"/>
    </row>
    <row r="35" spans="1:14" ht="27.75" customHeight="1" thickBot="1" x14ac:dyDescent="0.25">
      <c r="A35" s="672" t="s">
        <v>216</v>
      </c>
      <c r="B35" s="673"/>
      <c r="C35" s="673"/>
      <c r="D35" s="673"/>
      <c r="E35" s="498">
        <f>E26</f>
        <v>-1600</v>
      </c>
      <c r="F35" s="498">
        <f>F33+F34</f>
        <v>1524</v>
      </c>
      <c r="G35" s="498">
        <f>G33+G34</f>
        <v>1620</v>
      </c>
      <c r="H35" s="498">
        <f>H33+H34</f>
        <v>1380</v>
      </c>
      <c r="I35" s="499">
        <f>I33+I34</f>
        <v>1316</v>
      </c>
      <c r="J35" s="137"/>
    </row>
    <row r="36" spans="1:14" ht="22.5" customHeight="1" thickTop="1" x14ac:dyDescent="0.2">
      <c r="A36" s="465" t="s">
        <v>284</v>
      </c>
      <c r="B36" s="451"/>
      <c r="C36" s="456"/>
      <c r="D36" s="456"/>
      <c r="E36" s="448"/>
      <c r="F36" s="448"/>
      <c r="G36" s="448"/>
      <c r="H36" s="448"/>
      <c r="I36" s="449"/>
      <c r="J36" s="137"/>
    </row>
    <row r="37" spans="1:14" ht="18.75" customHeight="1" thickBot="1" x14ac:dyDescent="0.25">
      <c r="A37" s="674" t="s">
        <v>217</v>
      </c>
      <c r="B37" s="675"/>
      <c r="C37" s="675"/>
      <c r="D37" s="675"/>
      <c r="E37" s="466">
        <f>E35</f>
        <v>-1600</v>
      </c>
      <c r="F37" s="466">
        <f>F35-F22</f>
        <v>584</v>
      </c>
      <c r="G37" s="466">
        <f>G35-G22</f>
        <v>680</v>
      </c>
      <c r="H37" s="466">
        <f>H35-H22</f>
        <v>440</v>
      </c>
      <c r="I37" s="467">
        <f>I35-I22</f>
        <v>376</v>
      </c>
      <c r="J37" s="137"/>
      <c r="K37" s="435"/>
      <c r="L37" s="435"/>
      <c r="M37" s="439"/>
      <c r="N37" s="435"/>
    </row>
    <row r="38" spans="1:14" ht="13.5" thickTop="1" x14ac:dyDescent="0.2">
      <c r="A38" s="468"/>
      <c r="B38" s="469"/>
      <c r="C38" s="469"/>
      <c r="D38" s="469"/>
      <c r="E38" s="456"/>
      <c r="F38" s="448"/>
      <c r="G38" s="448"/>
      <c r="H38" s="448"/>
      <c r="I38" s="449"/>
      <c r="J38" s="137"/>
    </row>
    <row r="39" spans="1:14" x14ac:dyDescent="0.2">
      <c r="A39" s="470" t="s">
        <v>107</v>
      </c>
      <c r="B39" s="451"/>
      <c r="C39" s="451"/>
      <c r="D39" s="471">
        <v>0.1</v>
      </c>
      <c r="E39" s="462"/>
      <c r="F39" s="448"/>
      <c r="G39" s="448"/>
      <c r="H39" s="448"/>
      <c r="I39" s="449"/>
      <c r="J39" s="137"/>
    </row>
    <row r="40" spans="1:14" x14ac:dyDescent="0.2">
      <c r="A40" s="468"/>
      <c r="B40" s="469"/>
      <c r="C40" s="469"/>
      <c r="D40" s="472" t="s">
        <v>218</v>
      </c>
      <c r="E40" s="473">
        <f>NPV(D39,F37:I37)+E37</f>
        <v>80.284133597431264</v>
      </c>
      <c r="F40" s="448"/>
      <c r="G40" s="448"/>
      <c r="H40" s="448"/>
      <c r="I40" s="449"/>
      <c r="J40" s="137"/>
    </row>
    <row r="41" spans="1:14" x14ac:dyDescent="0.2">
      <c r="A41" s="468"/>
      <c r="B41" s="469"/>
      <c r="C41" s="469"/>
      <c r="D41" s="472" t="s">
        <v>219</v>
      </c>
      <c r="E41" s="474">
        <f>IRR(E37:I37)</f>
        <v>0.12505075516433761</v>
      </c>
      <c r="F41" s="448"/>
      <c r="G41" s="448"/>
      <c r="H41" s="448"/>
      <c r="I41" s="449"/>
      <c r="J41" s="137"/>
    </row>
    <row r="42" spans="1:14" x14ac:dyDescent="0.2">
      <c r="A42" s="468"/>
      <c r="B42" s="469"/>
      <c r="C42" s="469"/>
      <c r="D42" s="469" t="s">
        <v>220</v>
      </c>
      <c r="E42" s="474">
        <f>MIRR(E37:I37,D39,D39)</f>
        <v>0.11354653563129613</v>
      </c>
      <c r="F42" s="448"/>
      <c r="G42" s="448"/>
      <c r="H42" s="448"/>
      <c r="I42" s="449"/>
      <c r="J42" s="137"/>
    </row>
    <row r="43" spans="1:14" ht="12.75" customHeight="1" thickBot="1" x14ac:dyDescent="0.25">
      <c r="A43" s="475"/>
      <c r="B43" s="476"/>
      <c r="C43" s="476"/>
      <c r="D43" s="476" t="s">
        <v>221</v>
      </c>
      <c r="E43" s="477">
        <f>G12+(-E37-F37-G37)/H37</f>
        <v>2.7636363636363637</v>
      </c>
      <c r="F43" s="478"/>
      <c r="G43" s="478"/>
      <c r="H43" s="478"/>
      <c r="I43" s="479"/>
      <c r="J43" s="137"/>
      <c r="K43" s="440"/>
      <c r="M43" s="441"/>
    </row>
    <row r="44" spans="1:14" ht="22.5" customHeight="1" x14ac:dyDescent="0.2">
      <c r="A44" s="500" t="s">
        <v>285</v>
      </c>
      <c r="B44" s="501"/>
      <c r="C44" s="501"/>
      <c r="D44" s="502"/>
      <c r="E44" s="503"/>
      <c r="F44" s="504"/>
      <c r="G44" s="504"/>
      <c r="H44" s="504"/>
      <c r="I44" s="505"/>
      <c r="J44" s="137"/>
      <c r="M44" s="441"/>
    </row>
    <row r="45" spans="1:14" ht="17.25" customHeight="1" x14ac:dyDescent="0.2">
      <c r="A45" s="506"/>
      <c r="B45" s="507" t="s">
        <v>210</v>
      </c>
      <c r="C45" s="507"/>
      <c r="D45" s="507"/>
      <c r="E45" s="508">
        <v>-2000</v>
      </c>
      <c r="F45" s="509"/>
      <c r="G45" s="509"/>
      <c r="H45" s="509"/>
      <c r="I45" s="510"/>
      <c r="J45" s="137"/>
      <c r="M45" s="441"/>
    </row>
    <row r="46" spans="1:14" x14ac:dyDescent="0.2">
      <c r="A46" s="506"/>
      <c r="B46" s="507" t="s">
        <v>222</v>
      </c>
      <c r="C46" s="507"/>
      <c r="D46" s="507"/>
      <c r="E46" s="511">
        <v>400</v>
      </c>
      <c r="F46" s="509"/>
      <c r="G46" s="509"/>
      <c r="H46" s="509"/>
      <c r="I46" s="510"/>
      <c r="J46" s="137"/>
      <c r="M46" s="441"/>
    </row>
    <row r="47" spans="1:14" x14ac:dyDescent="0.2">
      <c r="A47" s="506"/>
      <c r="B47" s="507" t="s">
        <v>223</v>
      </c>
      <c r="C47" s="507"/>
      <c r="D47" s="507"/>
      <c r="E47" s="512">
        <f>E45+E46</f>
        <v>-1600</v>
      </c>
      <c r="F47" s="509"/>
      <c r="G47" s="509"/>
      <c r="H47" s="509"/>
      <c r="I47" s="510"/>
      <c r="J47" s="137"/>
      <c r="M47" s="441"/>
    </row>
    <row r="48" spans="1:14" x14ac:dyDescent="0.2">
      <c r="A48" s="513" t="s">
        <v>224</v>
      </c>
      <c r="B48" s="509"/>
      <c r="C48" s="507"/>
      <c r="D48" s="507"/>
      <c r="E48" s="507"/>
      <c r="F48" s="508">
        <f>F15-F28</f>
        <v>600</v>
      </c>
      <c r="G48" s="508">
        <f>G15-G28</f>
        <v>600</v>
      </c>
      <c r="H48" s="508">
        <f>H15-H28</f>
        <v>600</v>
      </c>
      <c r="I48" s="514">
        <f>I15-I28</f>
        <v>600</v>
      </c>
      <c r="J48" s="137"/>
      <c r="M48" s="442"/>
    </row>
    <row r="49" spans="1:10" x14ac:dyDescent="0.2">
      <c r="A49" s="513" t="s">
        <v>225</v>
      </c>
      <c r="B49" s="509"/>
      <c r="C49" s="507"/>
      <c r="D49" s="507"/>
      <c r="E49" s="507"/>
      <c r="F49" s="515">
        <f>F48*(1-$B$32)</f>
        <v>360</v>
      </c>
      <c r="G49" s="515">
        <f>G48*(1-$B$32)</f>
        <v>360</v>
      </c>
      <c r="H49" s="515">
        <f>H48*(1-$B$32)</f>
        <v>360</v>
      </c>
      <c r="I49" s="516">
        <f>I48*(1-$B$32)</f>
        <v>360</v>
      </c>
      <c r="J49" s="137"/>
    </row>
    <row r="50" spans="1:10" ht="18.75" customHeight="1" x14ac:dyDescent="0.2">
      <c r="A50" s="513" t="s">
        <v>226</v>
      </c>
      <c r="B50" s="509"/>
      <c r="C50" s="507"/>
      <c r="D50" s="507"/>
      <c r="E50" s="507"/>
      <c r="F50" s="517">
        <f>F29-F16</f>
        <v>560</v>
      </c>
      <c r="G50" s="517">
        <f>G29-G16</f>
        <v>800</v>
      </c>
      <c r="H50" s="517">
        <f>H29-H16</f>
        <v>200</v>
      </c>
      <c r="I50" s="518">
        <f>I29-I16</f>
        <v>40</v>
      </c>
      <c r="J50" s="137"/>
    </row>
    <row r="51" spans="1:10" x14ac:dyDescent="0.2">
      <c r="A51" s="513" t="s">
        <v>227</v>
      </c>
      <c r="B51" s="509"/>
      <c r="C51" s="507"/>
      <c r="D51" s="507"/>
      <c r="E51" s="507"/>
      <c r="F51" s="515">
        <f>F50*$B$32</f>
        <v>224</v>
      </c>
      <c r="G51" s="515">
        <f>G50*$B$32</f>
        <v>320</v>
      </c>
      <c r="H51" s="515">
        <f>H50*$B$32</f>
        <v>80</v>
      </c>
      <c r="I51" s="516">
        <f>I50*$B$32</f>
        <v>16</v>
      </c>
      <c r="J51" s="137"/>
    </row>
    <row r="52" spans="1:10" ht="29.25" customHeight="1" thickBot="1" x14ac:dyDescent="0.25">
      <c r="A52" s="676" t="s">
        <v>228</v>
      </c>
      <c r="B52" s="677"/>
      <c r="C52" s="677"/>
      <c r="D52" s="677"/>
      <c r="E52" s="519">
        <f>E47</f>
        <v>-1600</v>
      </c>
      <c r="F52" s="519">
        <f>F49+F51</f>
        <v>584</v>
      </c>
      <c r="G52" s="519">
        <f>G49+G51</f>
        <v>680</v>
      </c>
      <c r="H52" s="519">
        <f>H49+H51</f>
        <v>440</v>
      </c>
      <c r="I52" s="520">
        <f>I49+I51</f>
        <v>376</v>
      </c>
      <c r="J52" s="137"/>
    </row>
    <row r="53" spans="1:10" ht="14.25" customHeight="1" thickTop="1" thickBot="1" x14ac:dyDescent="0.25">
      <c r="A53" s="589"/>
      <c r="B53" s="590"/>
      <c r="C53" s="590"/>
      <c r="D53" s="590"/>
      <c r="E53" s="590"/>
      <c r="F53" s="590"/>
      <c r="G53" s="590"/>
      <c r="H53" s="590"/>
      <c r="I53" s="591"/>
      <c r="J53" s="137"/>
    </row>
    <row r="54" spans="1:10" x14ac:dyDescent="0.2">
      <c r="A54" s="443" t="s">
        <v>229</v>
      </c>
      <c r="B54" s="137"/>
      <c r="C54" s="137"/>
      <c r="D54" s="137"/>
      <c r="E54" s="137"/>
      <c r="F54" s="137"/>
      <c r="G54" s="137"/>
      <c r="H54" s="137"/>
      <c r="I54" s="137"/>
      <c r="J54" s="137"/>
    </row>
    <row r="55" spans="1:10" x14ac:dyDescent="0.2">
      <c r="B55" s="170"/>
      <c r="C55" s="170"/>
      <c r="D55" s="170"/>
      <c r="E55" s="170"/>
      <c r="F55" s="170"/>
      <c r="G55" s="170"/>
      <c r="H55" s="170"/>
      <c r="I55" s="170"/>
      <c r="J55" s="170"/>
    </row>
  </sheetData>
  <mergeCells count="11">
    <mergeCell ref="A23:D23"/>
    <mergeCell ref="A35:D35"/>
    <mergeCell ref="A37:D37"/>
    <mergeCell ref="A52:D52"/>
    <mergeCell ref="D1:F1"/>
    <mergeCell ref="A3:I3"/>
    <mergeCell ref="A5:I5"/>
    <mergeCell ref="A7:I7"/>
    <mergeCell ref="A13:D13"/>
    <mergeCell ref="A22:D22"/>
    <mergeCell ref="H1:I1"/>
  </mergeCells>
  <phoneticPr fontId="0" type="noConversion"/>
  <printOptions headings="1" gridLines="1"/>
  <pageMargins left="0.75" right="0.75" top="1" bottom="1" header="0.5" footer="0.5"/>
  <pageSetup scale="81" orientation="portrait" r:id="rId1"/>
  <headerFooter alignWithMargins="0"/>
  <rowBreaks count="1" manualBreakCount="1">
    <brk id="43" max="16383"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169"/>
  <sheetViews>
    <sheetView zoomScaleNormal="100" zoomScaleSheetLayoutView="100" workbookViewId="0"/>
  </sheetViews>
  <sheetFormatPr defaultRowHeight="12.75" x14ac:dyDescent="0.2"/>
  <cols>
    <col min="1" max="1" width="10.28515625" customWidth="1"/>
    <col min="2" max="2" width="9.7109375" customWidth="1"/>
    <col min="3" max="3" width="11.28515625" customWidth="1"/>
    <col min="4" max="4" width="12.42578125" customWidth="1"/>
    <col min="5" max="5" width="10.5703125" customWidth="1"/>
    <col min="6" max="6" width="9.85546875" customWidth="1"/>
    <col min="7" max="7" width="9.42578125" bestFit="1" customWidth="1"/>
    <col min="8" max="8" width="8.5703125" customWidth="1"/>
    <col min="9" max="9" width="9.85546875" customWidth="1"/>
    <col min="10" max="10" width="1.140625" customWidth="1"/>
    <col min="12" max="12" width="9" customWidth="1"/>
    <col min="13" max="13" width="10.28515625" bestFit="1" customWidth="1"/>
    <col min="14" max="14" width="9.28515625" bestFit="1" customWidth="1"/>
    <col min="15" max="15" width="9.42578125" bestFit="1" customWidth="1"/>
    <col min="16" max="19" width="9.28515625" bestFit="1" customWidth="1"/>
  </cols>
  <sheetData>
    <row r="1" spans="1:19" s="24" customFormat="1" ht="15" customHeight="1" x14ac:dyDescent="0.2">
      <c r="A1" s="62" t="s">
        <v>1</v>
      </c>
      <c r="B1" s="62"/>
      <c r="C1" s="62"/>
      <c r="D1" s="665">
        <f ca="1">NOW()</f>
        <v>43139.578702199076</v>
      </c>
      <c r="E1" s="665"/>
      <c r="F1" s="665"/>
      <c r="G1" s="62"/>
      <c r="H1" s="63"/>
      <c r="I1" s="593">
        <f>'12 Chapter model'!I1</f>
        <v>43139</v>
      </c>
      <c r="K1" s="72"/>
    </row>
    <row r="2" spans="1:19" s="24" customFormat="1" ht="10.5" customHeight="1" x14ac:dyDescent="0.2"/>
    <row r="3" spans="1:19" s="24" customFormat="1" ht="15.75" x14ac:dyDescent="0.25">
      <c r="A3" s="678" t="s">
        <v>235</v>
      </c>
      <c r="B3" s="679"/>
      <c r="C3" s="679"/>
      <c r="D3" s="679"/>
      <c r="E3" s="679"/>
      <c r="F3" s="679"/>
      <c r="G3" s="679"/>
      <c r="H3" s="679"/>
      <c r="I3" s="679"/>
      <c r="K3" s="528"/>
      <c r="L3" s="528"/>
      <c r="M3" s="528"/>
      <c r="N3" s="528"/>
      <c r="O3" s="528"/>
      <c r="P3" s="528"/>
      <c r="Q3" s="528"/>
      <c r="R3" s="528"/>
      <c r="S3" s="528"/>
    </row>
    <row r="4" spans="1:19" s="24" customFormat="1" x14ac:dyDescent="0.2">
      <c r="K4" s="528"/>
      <c r="L4" s="528"/>
      <c r="M4" s="528"/>
      <c r="N4" s="528"/>
      <c r="O4" s="528"/>
      <c r="P4" s="528"/>
      <c r="Q4" s="528"/>
      <c r="R4" s="528"/>
      <c r="S4" s="528"/>
    </row>
    <row r="5" spans="1:19" s="24" customFormat="1" ht="111.75" customHeight="1" x14ac:dyDescent="0.2">
      <c r="A5" s="705" t="s">
        <v>238</v>
      </c>
      <c r="B5" s="706"/>
      <c r="C5" s="706"/>
      <c r="D5" s="706"/>
      <c r="E5" s="706"/>
      <c r="F5" s="706"/>
      <c r="G5" s="706"/>
      <c r="H5" s="706"/>
      <c r="I5" s="706"/>
    </row>
    <row r="6" spans="1:19" s="24" customFormat="1" ht="12.75" customHeight="1" x14ac:dyDescent="0.2">
      <c r="A6" s="707" t="s">
        <v>239</v>
      </c>
      <c r="B6" s="707"/>
      <c r="C6" s="707"/>
      <c r="D6" s="707"/>
      <c r="E6" s="707"/>
      <c r="F6" s="707"/>
      <c r="G6" s="707"/>
      <c r="H6" s="707"/>
      <c r="I6" s="707"/>
    </row>
    <row r="7" spans="1:19" s="24" customFormat="1" ht="33.75" customHeight="1" x14ac:dyDescent="0.2">
      <c r="A7" s="707"/>
      <c r="B7" s="707"/>
      <c r="C7" s="707"/>
      <c r="D7" s="707"/>
      <c r="E7" s="707"/>
      <c r="F7" s="707"/>
      <c r="G7" s="707"/>
      <c r="H7" s="707"/>
      <c r="I7" s="707"/>
    </row>
    <row r="8" spans="1:19" s="24" customFormat="1" ht="26.25" customHeight="1" x14ac:dyDescent="0.2">
      <c r="A8" s="707" t="s">
        <v>236</v>
      </c>
      <c r="B8" s="708"/>
      <c r="C8" s="708"/>
      <c r="D8" s="708"/>
      <c r="E8" s="708"/>
      <c r="F8" s="708"/>
      <c r="G8" s="708"/>
      <c r="H8" s="708"/>
      <c r="I8" s="708"/>
    </row>
    <row r="9" spans="1:19" s="24" customFormat="1" x14ac:dyDescent="0.2">
      <c r="K9" s="690" t="s">
        <v>234</v>
      </c>
      <c r="L9" s="690"/>
      <c r="M9" s="690"/>
      <c r="N9" s="690"/>
      <c r="O9" s="690"/>
      <c r="P9" s="690"/>
      <c r="Q9" s="690"/>
      <c r="R9" s="690"/>
      <c r="S9" s="690"/>
    </row>
    <row r="10" spans="1:19" s="24" customFormat="1" ht="26.25" customHeight="1" x14ac:dyDescent="0.2">
      <c r="A10" s="691" t="s">
        <v>242</v>
      </c>
      <c r="B10" s="691"/>
      <c r="C10" s="691"/>
      <c r="D10" s="691"/>
      <c r="E10" s="691"/>
      <c r="F10" s="69"/>
      <c r="G10" s="69"/>
      <c r="H10" s="69"/>
      <c r="I10" s="69"/>
      <c r="K10" s="690"/>
      <c r="L10" s="690"/>
      <c r="M10" s="690"/>
      <c r="N10" s="690"/>
      <c r="O10" s="690"/>
      <c r="P10" s="690"/>
      <c r="Q10" s="690"/>
      <c r="R10" s="690"/>
      <c r="S10" s="690"/>
    </row>
    <row r="11" spans="1:19" s="24" customFormat="1" ht="15" x14ac:dyDescent="0.25">
      <c r="A11" s="529" t="s">
        <v>231</v>
      </c>
      <c r="B11" s="69"/>
      <c r="C11" s="69"/>
      <c r="D11" s="69"/>
      <c r="E11" s="69"/>
      <c r="F11" s="69"/>
      <c r="G11" s="69"/>
      <c r="H11" s="69"/>
      <c r="I11" s="69"/>
      <c r="K11" s="690"/>
      <c r="L11" s="690"/>
      <c r="M11" s="690"/>
      <c r="N11" s="690"/>
      <c r="O11" s="690"/>
      <c r="P11" s="690"/>
      <c r="Q11" s="690"/>
      <c r="R11" s="690"/>
      <c r="S11" s="690"/>
    </row>
    <row r="12" spans="1:19" s="24" customFormat="1" ht="12.75" customHeight="1" x14ac:dyDescent="0.2">
      <c r="E12" s="73">
        <v>0</v>
      </c>
      <c r="F12" s="73">
        <v>1</v>
      </c>
      <c r="G12" s="73">
        <v>2</v>
      </c>
      <c r="H12" s="73">
        <v>3</v>
      </c>
      <c r="I12" s="73">
        <v>4</v>
      </c>
      <c r="K12" s="690"/>
      <c r="L12" s="690"/>
      <c r="M12" s="690"/>
      <c r="N12" s="690"/>
      <c r="O12" s="690"/>
      <c r="P12" s="690"/>
      <c r="Q12" s="690"/>
      <c r="R12" s="690"/>
      <c r="S12" s="690"/>
    </row>
    <row r="13" spans="1:19" s="24" customFormat="1" ht="17.25" customHeight="1" x14ac:dyDescent="0.2">
      <c r="A13" s="530" t="s">
        <v>77</v>
      </c>
      <c r="B13" s="531"/>
      <c r="C13" s="532"/>
      <c r="D13" s="533"/>
      <c r="E13" s="231"/>
      <c r="F13" s="231"/>
      <c r="G13" s="231"/>
      <c r="H13" s="231"/>
      <c r="I13" s="231"/>
      <c r="K13" s="690"/>
      <c r="L13" s="690"/>
      <c r="M13" s="690"/>
      <c r="N13" s="690"/>
      <c r="O13" s="690"/>
      <c r="P13" s="690"/>
      <c r="Q13" s="690"/>
      <c r="R13" s="690"/>
      <c r="S13" s="690"/>
    </row>
    <row r="14" spans="1:19" s="24" customFormat="1" x14ac:dyDescent="0.2">
      <c r="A14" s="108" t="s">
        <v>78</v>
      </c>
      <c r="B14" s="108"/>
      <c r="C14" s="108"/>
      <c r="D14" s="108"/>
      <c r="E14" s="539">
        <f>-M16*(1+$L$16)</f>
        <v>-900</v>
      </c>
      <c r="F14" s="14"/>
      <c r="G14" s="14"/>
      <c r="H14" s="14"/>
      <c r="I14" s="14"/>
      <c r="K14" s="690"/>
      <c r="L14" s="690"/>
      <c r="M14" s="690"/>
      <c r="N14" s="690"/>
      <c r="O14" s="690"/>
      <c r="P14" s="690"/>
      <c r="Q14" s="690"/>
      <c r="R14" s="690"/>
      <c r="S14" s="690"/>
    </row>
    <row r="15" spans="1:19" s="24" customFormat="1" ht="26.25" customHeight="1" x14ac:dyDescent="0.2">
      <c r="A15" s="694" t="s">
        <v>79</v>
      </c>
      <c r="B15" s="694"/>
      <c r="C15" s="694"/>
      <c r="D15" s="694"/>
      <c r="E15" s="540">
        <f>-M17*(1+$L$17)</f>
        <v>-100</v>
      </c>
      <c r="F15" s="14"/>
      <c r="G15" s="14"/>
      <c r="H15" s="14"/>
      <c r="I15" s="14"/>
      <c r="K15" s="559" t="s">
        <v>55</v>
      </c>
      <c r="L15" s="555" t="s">
        <v>80</v>
      </c>
      <c r="M15" s="692" t="s">
        <v>81</v>
      </c>
      <c r="N15" s="692"/>
      <c r="O15" s="692"/>
      <c r="P15" s="692"/>
      <c r="Q15" s="555" t="s">
        <v>82</v>
      </c>
      <c r="R15" s="556" t="s">
        <v>83</v>
      </c>
      <c r="S15" s="557" t="s">
        <v>73</v>
      </c>
    </row>
    <row r="16" spans="1:19" s="24" customFormat="1" ht="31.5" customHeight="1" x14ac:dyDescent="0.2">
      <c r="A16" s="693" t="s">
        <v>84</v>
      </c>
      <c r="B16" s="693"/>
      <c r="C16" s="693"/>
      <c r="D16" s="693"/>
      <c r="E16" s="14"/>
      <c r="F16" s="14"/>
      <c r="G16" s="14"/>
      <c r="H16" s="14"/>
      <c r="I16" s="14"/>
      <c r="K16" s="558" t="s">
        <v>17</v>
      </c>
      <c r="L16" s="182">
        <v>0</v>
      </c>
      <c r="M16" s="183">
        <v>900</v>
      </c>
      <c r="N16" s="184"/>
      <c r="O16" s="184"/>
      <c r="P16" s="185"/>
      <c r="Q16" s="186">
        <v>0.25</v>
      </c>
      <c r="R16" s="182">
        <v>-0.25</v>
      </c>
      <c r="S16" s="182">
        <v>0</v>
      </c>
    </row>
    <row r="17" spans="1:22" s="24" customFormat="1" x14ac:dyDescent="0.2">
      <c r="A17" s="108" t="s">
        <v>85</v>
      </c>
      <c r="B17" s="108"/>
      <c r="C17" s="108"/>
      <c r="D17" s="108"/>
      <c r="E17" s="14"/>
      <c r="F17" s="58">
        <f>M18*(1+$L$18)</f>
        <v>2685</v>
      </c>
      <c r="G17" s="47">
        <f>N18*(1+$L$18)</f>
        <v>2600</v>
      </c>
      <c r="H17" s="47">
        <f>O18*(1+$L$18)</f>
        <v>2525</v>
      </c>
      <c r="I17" s="47">
        <f>P18*(1+$L$18)</f>
        <v>2450</v>
      </c>
      <c r="K17" s="187" t="s">
        <v>86</v>
      </c>
      <c r="L17" s="188">
        <v>0</v>
      </c>
      <c r="M17" s="189">
        <v>100</v>
      </c>
      <c r="N17" s="77"/>
      <c r="O17" s="77"/>
      <c r="P17" s="190"/>
      <c r="Q17" s="191">
        <v>0.25</v>
      </c>
      <c r="R17" s="188">
        <v>-0.25</v>
      </c>
      <c r="S17" s="188">
        <v>0</v>
      </c>
    </row>
    <row r="18" spans="1:22" s="24" customFormat="1" x14ac:dyDescent="0.2">
      <c r="A18" s="108" t="s">
        <v>51</v>
      </c>
      <c r="B18" s="108"/>
      <c r="C18" s="108"/>
      <c r="D18" s="108"/>
      <c r="E18" s="14"/>
      <c r="F18" s="534">
        <f>M19*(1+$L$19)</f>
        <v>2</v>
      </c>
      <c r="G18" s="169">
        <f>F18</f>
        <v>2</v>
      </c>
      <c r="H18" s="169">
        <f>G18</f>
        <v>2</v>
      </c>
      <c r="I18" s="169">
        <f>H18</f>
        <v>2</v>
      </c>
      <c r="K18" s="187" t="s">
        <v>54</v>
      </c>
      <c r="L18" s="188">
        <v>0</v>
      </c>
      <c r="M18" s="192">
        <v>2685</v>
      </c>
      <c r="N18" s="59">
        <v>2600</v>
      </c>
      <c r="O18" s="59">
        <v>2525</v>
      </c>
      <c r="P18" s="193">
        <v>2450</v>
      </c>
      <c r="Q18" s="191">
        <v>-0.25</v>
      </c>
      <c r="R18" s="188">
        <v>0.25</v>
      </c>
      <c r="S18" s="188">
        <v>0</v>
      </c>
    </row>
    <row r="19" spans="1:22" s="24" customFormat="1" x14ac:dyDescent="0.2">
      <c r="A19" s="108" t="s">
        <v>62</v>
      </c>
      <c r="B19" s="108"/>
      <c r="C19" s="108"/>
      <c r="D19" s="108"/>
      <c r="E19" s="14"/>
      <c r="F19" s="535">
        <f>M20*(1+$L$20)</f>
        <v>1.0184978274363758</v>
      </c>
      <c r="G19" s="536">
        <f>N20*(1+$L$20)</f>
        <v>1.0782051282051279</v>
      </c>
      <c r="H19" s="536">
        <f>O20*(1+$L$20)</f>
        <v>1.045544554455446</v>
      </c>
      <c r="I19" s="536">
        <f>P20*(1+$L$20)</f>
        <v>1.2212244897959179</v>
      </c>
      <c r="K19" s="187" t="s">
        <v>56</v>
      </c>
      <c r="L19" s="188">
        <v>0</v>
      </c>
      <c r="M19" s="194">
        <v>2</v>
      </c>
      <c r="N19" s="77"/>
      <c r="O19" s="77"/>
      <c r="P19" s="190"/>
      <c r="Q19" s="191">
        <v>-0.25</v>
      </c>
      <c r="R19" s="188">
        <v>0.25</v>
      </c>
      <c r="S19" s="188">
        <v>0</v>
      </c>
    </row>
    <row r="20" spans="1:22" s="24" customFormat="1" x14ac:dyDescent="0.2">
      <c r="A20" s="108" t="s">
        <v>87</v>
      </c>
      <c r="B20" s="108"/>
      <c r="C20" s="108"/>
      <c r="D20" s="108"/>
      <c r="E20" s="14"/>
      <c r="F20" s="14">
        <f>F17*F18</f>
        <v>5370</v>
      </c>
      <c r="G20" s="14">
        <f>G17*G18</f>
        <v>5200</v>
      </c>
      <c r="H20" s="14">
        <f>H17*H18</f>
        <v>5050</v>
      </c>
      <c r="I20" s="14">
        <f>I17*I18</f>
        <v>4900</v>
      </c>
      <c r="K20" s="187" t="s">
        <v>88</v>
      </c>
      <c r="L20" s="188">
        <v>0</v>
      </c>
      <c r="M20" s="195">
        <v>1.0184978274363758</v>
      </c>
      <c r="N20" s="196">
        <v>1.0782051282051279</v>
      </c>
      <c r="O20" s="196">
        <v>1.045544554455446</v>
      </c>
      <c r="P20" s="197">
        <v>1.2212244897959179</v>
      </c>
      <c r="Q20" s="191">
        <v>0.25</v>
      </c>
      <c r="R20" s="188">
        <v>-0.25</v>
      </c>
      <c r="S20" s="188">
        <v>0</v>
      </c>
    </row>
    <row r="21" spans="1:22" s="24" customFormat="1" x14ac:dyDescent="0.2">
      <c r="A21" s="108" t="s">
        <v>89</v>
      </c>
      <c r="B21" s="108"/>
      <c r="C21" s="108"/>
      <c r="D21" s="108"/>
      <c r="E21" s="14"/>
      <c r="F21" s="47">
        <f>F17*F19</f>
        <v>2734.6666666666692</v>
      </c>
      <c r="G21" s="47">
        <f>G17*G19</f>
        <v>2803.3333333333326</v>
      </c>
      <c r="H21" s="47">
        <f>H17*H19</f>
        <v>2640.0000000000014</v>
      </c>
      <c r="I21" s="47">
        <f>I17*I19</f>
        <v>2991.9999999999991</v>
      </c>
      <c r="K21" s="187" t="s">
        <v>90</v>
      </c>
      <c r="L21" s="188">
        <v>0</v>
      </c>
      <c r="M21" s="189">
        <v>2000</v>
      </c>
      <c r="N21" s="77"/>
      <c r="O21" s="77"/>
      <c r="P21" s="190"/>
      <c r="Q21" s="191">
        <v>0.25</v>
      </c>
      <c r="R21" s="188">
        <v>-0.25</v>
      </c>
      <c r="S21" s="188">
        <v>0</v>
      </c>
    </row>
    <row r="22" spans="1:22" s="24" customFormat="1" x14ac:dyDescent="0.2">
      <c r="A22" s="108" t="s">
        <v>91</v>
      </c>
      <c r="B22" s="108"/>
      <c r="C22" s="108"/>
      <c r="D22" s="108"/>
      <c r="E22" s="14"/>
      <c r="F22" s="58">
        <f>M21*(1+$L$21)</f>
        <v>2000</v>
      </c>
      <c r="G22" s="47">
        <f>F22</f>
        <v>2000</v>
      </c>
      <c r="H22" s="47">
        <f>G22</f>
        <v>2000</v>
      </c>
      <c r="I22" s="47">
        <f>H22</f>
        <v>2000</v>
      </c>
      <c r="K22" s="198" t="s">
        <v>19</v>
      </c>
      <c r="L22" s="199">
        <v>0</v>
      </c>
      <c r="M22" s="200">
        <v>0.1</v>
      </c>
      <c r="N22" s="201"/>
      <c r="O22" s="201"/>
      <c r="P22" s="202"/>
      <c r="Q22" s="203">
        <v>0.25</v>
      </c>
      <c r="R22" s="199">
        <v>-0.25</v>
      </c>
      <c r="S22" s="199">
        <v>0</v>
      </c>
    </row>
    <row r="23" spans="1:22" s="24" customFormat="1" x14ac:dyDescent="0.2">
      <c r="A23" s="167" t="s">
        <v>174</v>
      </c>
      <c r="B23" s="92"/>
      <c r="C23" s="92"/>
      <c r="D23" s="167"/>
      <c r="E23" s="14"/>
      <c r="F23" s="57">
        <f>F39</f>
        <v>297</v>
      </c>
      <c r="G23" s="57">
        <f>G39</f>
        <v>405</v>
      </c>
      <c r="H23" s="57">
        <f>H39</f>
        <v>135</v>
      </c>
      <c r="I23" s="57">
        <f>I39</f>
        <v>63.000000000000007</v>
      </c>
      <c r="K23" s="75"/>
      <c r="L23" s="76"/>
      <c r="M23" s="77"/>
      <c r="N23" s="77"/>
      <c r="O23" s="77"/>
      <c r="P23" s="77"/>
      <c r="Q23" s="78"/>
      <c r="R23" s="76"/>
      <c r="S23" s="76"/>
    </row>
    <row r="24" spans="1:22" s="24" customFormat="1" x14ac:dyDescent="0.2">
      <c r="A24" s="108" t="s">
        <v>92</v>
      </c>
      <c r="B24" s="108"/>
      <c r="C24" s="108"/>
      <c r="D24" s="108"/>
      <c r="E24" s="14"/>
      <c r="F24" s="368">
        <f>F21+F22+F23</f>
        <v>5031.6666666666697</v>
      </c>
      <c r="G24" s="368">
        <f>G21+G22+G23</f>
        <v>5208.3333333333321</v>
      </c>
      <c r="H24" s="368">
        <f>H21+H22+H23</f>
        <v>4775.0000000000018</v>
      </c>
      <c r="I24" s="368">
        <f>I21+I22+I23</f>
        <v>5054.9999999999991</v>
      </c>
      <c r="K24" s="77"/>
      <c r="L24" s="77"/>
      <c r="M24" s="77"/>
      <c r="N24" s="77"/>
      <c r="O24" s="77"/>
      <c r="P24" s="77"/>
      <c r="Q24" s="77"/>
      <c r="R24" s="77"/>
      <c r="S24" s="77"/>
    </row>
    <row r="25" spans="1:22" s="24" customFormat="1" x14ac:dyDescent="0.2">
      <c r="A25" s="108" t="s">
        <v>93</v>
      </c>
      <c r="B25" s="108"/>
      <c r="C25" s="108"/>
      <c r="D25" s="108"/>
      <c r="E25" s="14"/>
      <c r="F25" s="14">
        <f>F20-F24</f>
        <v>338.3333333333303</v>
      </c>
      <c r="G25" s="14">
        <f>G20-G24</f>
        <v>-8.3333333333321207</v>
      </c>
      <c r="H25" s="14">
        <f>H20-H24</f>
        <v>274.99999999999818</v>
      </c>
      <c r="I25" s="14">
        <f>I20-I24</f>
        <v>-154.99999999999909</v>
      </c>
      <c r="K25" s="75"/>
      <c r="L25" s="76"/>
      <c r="M25" s="77"/>
      <c r="N25" s="77"/>
      <c r="O25" s="77"/>
      <c r="P25" s="77"/>
      <c r="Q25" s="78"/>
      <c r="R25" s="76"/>
      <c r="S25" s="76"/>
    </row>
    <row r="26" spans="1:22" s="24" customFormat="1" x14ac:dyDescent="0.2">
      <c r="A26" s="108" t="s">
        <v>94</v>
      </c>
      <c r="B26" s="108"/>
      <c r="C26" s="108"/>
      <c r="D26" s="537">
        <v>0.4</v>
      </c>
      <c r="E26" s="14"/>
      <c r="F26" s="57">
        <f>$D$26*F25</f>
        <v>135.33333333333212</v>
      </c>
      <c r="G26" s="57">
        <f>$D$26*G25</f>
        <v>-3.3333333333328485</v>
      </c>
      <c r="H26" s="57">
        <f>$D$26*H25</f>
        <v>109.99999999999928</v>
      </c>
      <c r="I26" s="57">
        <f>$D$26*I25</f>
        <v>-61.999999999999638</v>
      </c>
      <c r="K26" s="75"/>
      <c r="L26" s="76"/>
      <c r="M26" s="77"/>
      <c r="N26" s="77"/>
      <c r="O26" s="77"/>
      <c r="P26" s="77"/>
      <c r="Q26" s="78"/>
      <c r="R26" s="76"/>
      <c r="S26" s="76"/>
    </row>
    <row r="27" spans="1:22" s="24" customFormat="1" x14ac:dyDescent="0.2">
      <c r="A27" s="108" t="s">
        <v>95</v>
      </c>
      <c r="B27" s="108"/>
      <c r="C27" s="108"/>
      <c r="D27" s="108"/>
      <c r="E27" s="14"/>
      <c r="F27" s="15">
        <f>F25-F26</f>
        <v>202.99999999999818</v>
      </c>
      <c r="G27" s="15">
        <f>G25-G26</f>
        <v>-4.9999999999992717</v>
      </c>
      <c r="H27" s="15">
        <f>H25-H26</f>
        <v>164.99999999999892</v>
      </c>
      <c r="I27" s="15">
        <f>I25-I26</f>
        <v>-92.99999999999946</v>
      </c>
      <c r="K27" s="75"/>
      <c r="L27" s="76"/>
      <c r="M27" s="77"/>
      <c r="N27" s="77"/>
      <c r="O27" s="77"/>
      <c r="P27" s="77"/>
      <c r="Q27" s="78"/>
      <c r="R27" s="76"/>
      <c r="S27" s="76"/>
    </row>
    <row r="28" spans="1:22" s="24" customFormat="1" x14ac:dyDescent="0.2">
      <c r="A28" s="108" t="s">
        <v>20</v>
      </c>
      <c r="B28" s="108"/>
      <c r="C28" s="108"/>
      <c r="D28" s="108"/>
      <c r="E28" s="15"/>
      <c r="F28" s="57">
        <f>F23</f>
        <v>297</v>
      </c>
      <c r="G28" s="57">
        <f>G23</f>
        <v>405</v>
      </c>
      <c r="H28" s="57">
        <f>H23</f>
        <v>135</v>
      </c>
      <c r="I28" s="57">
        <f>I23</f>
        <v>63.000000000000007</v>
      </c>
      <c r="K28" s="75"/>
      <c r="L28" s="575"/>
      <c r="M28" s="576"/>
      <c r="N28" s="576"/>
      <c r="O28" s="576"/>
      <c r="P28" s="576"/>
      <c r="Q28" s="576"/>
      <c r="R28" s="576"/>
      <c r="S28" s="576"/>
      <c r="T28" s="576"/>
      <c r="U28" s="528"/>
      <c r="V28" s="528"/>
    </row>
    <row r="29" spans="1:22" s="24" customFormat="1" x14ac:dyDescent="0.2">
      <c r="A29" s="108" t="s">
        <v>96</v>
      </c>
      <c r="B29" s="108"/>
      <c r="C29" s="108"/>
      <c r="D29" s="108"/>
      <c r="E29" s="15"/>
      <c r="F29" s="15">
        <f>F27+F28</f>
        <v>499.99999999999818</v>
      </c>
      <c r="G29" s="15">
        <f>G27+G28</f>
        <v>400.00000000000074</v>
      </c>
      <c r="H29" s="15">
        <f>H27+H28</f>
        <v>299.99999999999892</v>
      </c>
      <c r="I29" s="15">
        <f>I27+I28</f>
        <v>-29.999999999999453</v>
      </c>
      <c r="K29" s="75"/>
      <c r="L29" s="8"/>
      <c r="M29" s="8"/>
      <c r="N29" s="8"/>
      <c r="O29" s="8"/>
      <c r="P29" s="8"/>
      <c r="Q29" s="8"/>
      <c r="R29" s="8"/>
      <c r="S29" s="8"/>
      <c r="T29" s="8"/>
      <c r="U29" s="528"/>
      <c r="V29" s="528"/>
    </row>
    <row r="30" spans="1:22" s="24" customFormat="1" x14ac:dyDescent="0.2">
      <c r="A30" s="693" t="s">
        <v>97</v>
      </c>
      <c r="B30" s="693"/>
      <c r="C30" s="693"/>
      <c r="D30" s="693"/>
      <c r="E30" s="15"/>
      <c r="F30" s="15"/>
      <c r="G30" s="15"/>
      <c r="H30" s="15"/>
      <c r="I30" s="15"/>
      <c r="K30" s="75"/>
      <c r="L30" s="579"/>
      <c r="M30" s="580"/>
      <c r="N30" s="580"/>
      <c r="O30" s="580"/>
      <c r="P30" s="580"/>
      <c r="Q30" s="580"/>
      <c r="R30" s="580"/>
      <c r="S30" s="580"/>
      <c r="T30" s="580"/>
      <c r="U30" s="528"/>
      <c r="V30" s="528"/>
    </row>
    <row r="31" spans="1:22" s="24" customFormat="1" x14ac:dyDescent="0.2">
      <c r="A31" s="108" t="s">
        <v>98</v>
      </c>
      <c r="B31" s="108"/>
      <c r="C31" s="108"/>
      <c r="D31" s="108"/>
      <c r="E31" s="15"/>
      <c r="F31" s="15"/>
      <c r="G31" s="15"/>
      <c r="H31" s="15"/>
      <c r="I31" s="59">
        <v>50</v>
      </c>
      <c r="K31" s="75"/>
      <c r="L31" s="76"/>
      <c r="M31" s="77"/>
      <c r="N31" s="528"/>
      <c r="O31" s="528"/>
      <c r="P31" s="528"/>
      <c r="Q31" s="528"/>
      <c r="R31" s="528"/>
      <c r="S31" s="528"/>
      <c r="T31" s="528"/>
      <c r="U31" s="528"/>
      <c r="V31" s="528"/>
    </row>
    <row r="32" spans="1:22" s="24" customFormat="1" ht="29.25" customHeight="1" x14ac:dyDescent="0.2">
      <c r="A32" s="694" t="s">
        <v>99</v>
      </c>
      <c r="B32" s="694"/>
      <c r="C32" s="694"/>
      <c r="D32" s="694"/>
      <c r="E32" s="15"/>
      <c r="F32" s="15"/>
      <c r="G32" s="15"/>
      <c r="H32" s="15"/>
      <c r="I32" s="57">
        <f>I31*D26</f>
        <v>20</v>
      </c>
      <c r="K32" s="75"/>
      <c r="L32" s="76"/>
      <c r="M32" s="77"/>
      <c r="N32" s="528"/>
      <c r="O32" s="528"/>
      <c r="P32" s="528"/>
      <c r="Q32" s="528"/>
      <c r="R32" s="528"/>
      <c r="S32" s="528"/>
      <c r="T32" s="528"/>
      <c r="U32" s="528"/>
      <c r="V32" s="528"/>
    </row>
    <row r="33" spans="1:19" s="24" customFormat="1" x14ac:dyDescent="0.2">
      <c r="A33" s="538" t="s">
        <v>100</v>
      </c>
      <c r="B33" s="538"/>
      <c r="C33" s="538"/>
      <c r="D33" s="538"/>
      <c r="E33" s="15"/>
      <c r="F33" s="15"/>
      <c r="G33" s="15"/>
      <c r="H33" s="15"/>
      <c r="I33" s="59">
        <f>I31-I32</f>
        <v>30</v>
      </c>
      <c r="K33" s="75"/>
      <c r="L33" s="76"/>
      <c r="M33" s="77"/>
      <c r="N33" s="77"/>
      <c r="O33" s="77"/>
      <c r="P33" s="77"/>
      <c r="Q33" s="78"/>
      <c r="R33" s="76"/>
      <c r="S33" s="76"/>
    </row>
    <row r="34" spans="1:19" s="24" customFormat="1" ht="30" customHeight="1" x14ac:dyDescent="0.2">
      <c r="A34" s="695" t="s">
        <v>101</v>
      </c>
      <c r="B34" s="695"/>
      <c r="C34" s="695"/>
      <c r="D34" s="695"/>
      <c r="E34" s="16"/>
      <c r="F34" s="16"/>
      <c r="G34" s="16"/>
      <c r="H34" s="16"/>
      <c r="I34" s="57">
        <f>-E15</f>
        <v>100</v>
      </c>
      <c r="K34" s="75"/>
      <c r="L34" s="76"/>
      <c r="M34" s="77"/>
      <c r="N34" s="77"/>
      <c r="O34" s="77"/>
      <c r="P34" s="77"/>
      <c r="Q34" s="78"/>
      <c r="R34" s="76"/>
      <c r="S34" s="76"/>
    </row>
    <row r="35" spans="1:19" s="24" customFormat="1" ht="29.25" customHeight="1" thickBot="1" x14ac:dyDescent="0.25">
      <c r="A35" s="642" t="s">
        <v>180</v>
      </c>
      <c r="B35" s="643"/>
      <c r="C35" s="643"/>
      <c r="D35" s="643"/>
      <c r="E35" s="541">
        <f>SUM(E14:E15)</f>
        <v>-1000</v>
      </c>
      <c r="F35" s="541">
        <f>F29</f>
        <v>499.99999999999818</v>
      </c>
      <c r="G35" s="541">
        <f>G29</f>
        <v>400.00000000000074</v>
      </c>
      <c r="H35" s="541">
        <f>H29</f>
        <v>299.99999999999892</v>
      </c>
      <c r="I35" s="541">
        <f>I29+I33+I34</f>
        <v>100.00000000000054</v>
      </c>
      <c r="K35" s="75"/>
      <c r="L35" s="76"/>
      <c r="M35" s="77"/>
      <c r="N35" s="77"/>
      <c r="O35" s="77"/>
      <c r="P35" s="77"/>
      <c r="Q35" s="78"/>
      <c r="R35" s="76"/>
      <c r="S35" s="76"/>
    </row>
    <row r="36" spans="1:19" s="24" customFormat="1" ht="14.25" thickTop="1" thickBot="1" x14ac:dyDescent="0.25">
      <c r="A36" s="79"/>
      <c r="B36" s="79"/>
      <c r="C36" s="79"/>
      <c r="D36" s="79"/>
      <c r="E36" s="80"/>
      <c r="F36" s="81"/>
      <c r="G36" s="81"/>
      <c r="H36" s="81"/>
      <c r="I36" s="81"/>
      <c r="K36" s="75"/>
      <c r="L36" s="76"/>
      <c r="M36" s="77"/>
      <c r="N36" s="77"/>
      <c r="O36" s="77"/>
      <c r="P36" s="77"/>
      <c r="Q36" s="78"/>
      <c r="R36" s="76"/>
      <c r="S36" s="76"/>
    </row>
    <row r="37" spans="1:19" s="24" customFormat="1" x14ac:dyDescent="0.2">
      <c r="A37" s="542" t="s">
        <v>102</v>
      </c>
      <c r="B37" s="205"/>
      <c r="C37" s="205"/>
      <c r="D37" s="543" t="s">
        <v>103</v>
      </c>
      <c r="E37" s="544"/>
      <c r="F37" s="444">
        <v>1</v>
      </c>
      <c r="G37" s="444">
        <v>2</v>
      </c>
      <c r="H37" s="444">
        <v>3</v>
      </c>
      <c r="I37" s="445">
        <v>4</v>
      </c>
      <c r="K37" s="75"/>
      <c r="L37" s="76"/>
      <c r="M37" s="77"/>
      <c r="N37" s="77"/>
      <c r="O37" s="77"/>
      <c r="P37" s="77"/>
      <c r="Q37" s="78"/>
      <c r="R37" s="76"/>
      <c r="S37" s="76"/>
    </row>
    <row r="38" spans="1:19" s="24" customFormat="1" x14ac:dyDescent="0.2">
      <c r="A38" s="206"/>
      <c r="B38" s="75" t="s">
        <v>104</v>
      </c>
      <c r="C38" s="545">
        <f>-E14</f>
        <v>900</v>
      </c>
      <c r="D38" s="167" t="s">
        <v>105</v>
      </c>
      <c r="E38" s="231"/>
      <c r="F38" s="546">
        <v>0.33</v>
      </c>
      <c r="G38" s="546">
        <v>0.45</v>
      </c>
      <c r="H38" s="546">
        <v>0.15</v>
      </c>
      <c r="I38" s="547">
        <v>7.0000000000000007E-2</v>
      </c>
      <c r="K38" s="75"/>
      <c r="L38" s="76"/>
      <c r="M38" s="77"/>
      <c r="N38" s="77"/>
      <c r="O38" s="77"/>
      <c r="P38" s="77"/>
      <c r="Q38" s="78"/>
      <c r="R38" s="76"/>
      <c r="S38" s="76"/>
    </row>
    <row r="39" spans="1:19" s="24" customFormat="1" ht="13.5" thickBot="1" x14ac:dyDescent="0.25">
      <c r="A39" s="209"/>
      <c r="B39" s="548"/>
      <c r="C39" s="549"/>
      <c r="D39" s="550" t="s">
        <v>106</v>
      </c>
      <c r="E39" s="549"/>
      <c r="F39" s="551">
        <f>$C$38*F38</f>
        <v>297</v>
      </c>
      <c r="G39" s="551">
        <f>$C$38*G38</f>
        <v>405</v>
      </c>
      <c r="H39" s="551">
        <f>$C$38*H38</f>
        <v>135</v>
      </c>
      <c r="I39" s="552">
        <f>$C$38*I38</f>
        <v>63.000000000000007</v>
      </c>
      <c r="K39" s="75"/>
      <c r="L39" s="76"/>
      <c r="M39" s="77"/>
      <c r="N39" s="77"/>
      <c r="O39" s="77"/>
      <c r="P39" s="77"/>
      <c r="Q39" s="78"/>
      <c r="R39" s="76"/>
      <c r="S39" s="76"/>
    </row>
    <row r="40" spans="1:19" s="24" customFormat="1" ht="13.5" thickBot="1" x14ac:dyDescent="0.25">
      <c r="A40" s="82" t="s">
        <v>107</v>
      </c>
      <c r="B40" s="22"/>
      <c r="C40" s="22"/>
      <c r="D40" s="83">
        <f>M22*(1+L22)</f>
        <v>0.1</v>
      </c>
      <c r="E40" s="84"/>
      <c r="F40" s="85"/>
      <c r="G40" s="85"/>
      <c r="H40" s="85"/>
      <c r="I40" s="85"/>
      <c r="K40" s="75"/>
      <c r="L40" s="76"/>
      <c r="M40" s="77"/>
      <c r="N40" s="77"/>
      <c r="O40" s="77"/>
      <c r="P40" s="77"/>
      <c r="Q40" s="78"/>
      <c r="R40" s="76"/>
      <c r="S40" s="76"/>
    </row>
    <row r="41" spans="1:19" s="24" customFormat="1" ht="13.5" thickBot="1" x14ac:dyDescent="0.25">
      <c r="A41" s="22"/>
      <c r="B41" s="108"/>
      <c r="C41" s="210" t="s">
        <v>108</v>
      </c>
      <c r="D41" s="86"/>
      <c r="E41" s="86"/>
      <c r="F41" s="86"/>
      <c r="G41" s="87"/>
      <c r="H41" s="87"/>
      <c r="I41" s="22"/>
      <c r="K41" s="75"/>
      <c r="L41" s="76"/>
      <c r="M41" s="77"/>
      <c r="N41" s="77"/>
      <c r="O41" s="77"/>
      <c r="P41" s="77"/>
      <c r="Q41" s="78"/>
      <c r="R41" s="76"/>
      <c r="S41" s="76"/>
    </row>
    <row r="42" spans="1:19" s="24" customFormat="1" ht="13.5" thickBot="1" x14ac:dyDescent="0.25">
      <c r="A42" s="88"/>
      <c r="B42" s="211" t="s">
        <v>109</v>
      </c>
      <c r="C42" s="212">
        <f>NPV(D40,F35:I35)+E35</f>
        <v>78.819752749127474</v>
      </c>
      <c r="D42" s="89"/>
      <c r="E42" s="89"/>
      <c r="F42" s="89"/>
      <c r="G42" s="90"/>
      <c r="H42" s="90"/>
      <c r="I42" s="22"/>
    </row>
    <row r="43" spans="1:19" s="24" customFormat="1" ht="13.5" thickBot="1" x14ac:dyDescent="0.25">
      <c r="A43" s="88"/>
      <c r="B43" s="210" t="s">
        <v>21</v>
      </c>
      <c r="C43" s="213">
        <f>IRR(E35:I35)</f>
        <v>0.14488844278532076</v>
      </c>
      <c r="D43" s="91"/>
      <c r="E43" s="91"/>
      <c r="F43" s="92"/>
      <c r="G43" s="93"/>
      <c r="H43" s="93"/>
      <c r="I43" s="22"/>
    </row>
    <row r="44" spans="1:19" s="24" customFormat="1" ht="13.5" thickBot="1" x14ac:dyDescent="0.25">
      <c r="A44" s="88"/>
      <c r="B44" s="210" t="s">
        <v>22</v>
      </c>
      <c r="C44" s="213">
        <f>MIRR(E35:I35,D40,D40)</f>
        <v>0.12106271186727291</v>
      </c>
      <c r="D44" s="91"/>
      <c r="E44" s="91"/>
      <c r="F44" s="91"/>
      <c r="G44" s="93"/>
      <c r="H44" s="93"/>
      <c r="I44" s="22"/>
    </row>
    <row r="45" spans="1:19" s="24" customFormat="1" ht="13.5" thickBot="1" x14ac:dyDescent="0.25">
      <c r="A45" s="88"/>
      <c r="B45" s="214" t="s">
        <v>110</v>
      </c>
      <c r="C45" s="215">
        <f>G12+(-E35-F35-G35)/H35</f>
        <v>2.3333333333333384</v>
      </c>
      <c r="D45" s="94"/>
      <c r="E45" s="94"/>
      <c r="F45" s="94"/>
      <c r="G45" s="95"/>
      <c r="H45" s="95"/>
      <c r="I45" s="22"/>
    </row>
    <row r="46" spans="1:19" s="24" customFormat="1" x14ac:dyDescent="0.2"/>
    <row r="47" spans="1:19" s="22" customFormat="1" x14ac:dyDescent="0.2">
      <c r="A47" s="22" t="s">
        <v>111</v>
      </c>
    </row>
    <row r="48" spans="1:19" s="22" customFormat="1" ht="13.5" thickBot="1" x14ac:dyDescent="0.25">
      <c r="E48" s="96"/>
    </row>
    <row r="49" spans="1:13" s="22" customFormat="1" ht="13.5" thickBot="1" x14ac:dyDescent="0.25">
      <c r="B49" s="97" t="s">
        <v>66</v>
      </c>
      <c r="C49" s="98" t="s">
        <v>112</v>
      </c>
      <c r="E49" s="97" t="s">
        <v>66</v>
      </c>
      <c r="F49" s="98" t="s">
        <v>113</v>
      </c>
      <c r="H49" s="97" t="s">
        <v>66</v>
      </c>
      <c r="I49" s="98" t="s">
        <v>114</v>
      </c>
    </row>
    <row r="50" spans="1:13" s="22" customFormat="1" ht="13.5" thickBot="1" x14ac:dyDescent="0.25">
      <c r="B50" s="99" t="s">
        <v>115</v>
      </c>
      <c r="C50" s="100">
        <f>C42</f>
        <v>78.819752749127474</v>
      </c>
      <c r="E50" s="99" t="s">
        <v>115</v>
      </c>
      <c r="F50" s="100">
        <f>C42</f>
        <v>78.819752749127474</v>
      </c>
      <c r="H50" s="99" t="s">
        <v>115</v>
      </c>
      <c r="I50" s="100">
        <f>C42</f>
        <v>78.819752749127474</v>
      </c>
    </row>
    <row r="51" spans="1:13" s="22" customFormat="1" x14ac:dyDescent="0.2">
      <c r="A51" s="65" t="s">
        <v>83</v>
      </c>
      <c r="B51" s="101">
        <v>0.25</v>
      </c>
      <c r="C51" s="102">
        <v>2526.8564305716795</v>
      </c>
      <c r="D51" s="65" t="s">
        <v>83</v>
      </c>
      <c r="E51" s="101">
        <v>0.25</v>
      </c>
      <c r="F51" s="102">
        <v>1202.3695785806963</v>
      </c>
      <c r="G51" s="65" t="s">
        <v>82</v>
      </c>
      <c r="H51" s="101">
        <v>0.25</v>
      </c>
      <c r="I51" s="102">
        <v>-1245.667099241856</v>
      </c>
    </row>
    <row r="52" spans="1:13" s="22" customFormat="1" x14ac:dyDescent="0.2">
      <c r="A52" s="65" t="s">
        <v>73</v>
      </c>
      <c r="B52" s="101">
        <v>0</v>
      </c>
      <c r="C52" s="102">
        <v>78.819752749127474</v>
      </c>
      <c r="D52" s="65" t="s">
        <v>73</v>
      </c>
      <c r="E52" s="101">
        <v>0</v>
      </c>
      <c r="F52" s="102">
        <v>78.819752749127474</v>
      </c>
      <c r="G52" s="65" t="s">
        <v>73</v>
      </c>
      <c r="H52" s="101">
        <v>0</v>
      </c>
      <c r="I52" s="102">
        <v>78.819752749127474</v>
      </c>
    </row>
    <row r="53" spans="1:13" s="22" customFormat="1" x14ac:dyDescent="0.2">
      <c r="A53" s="65" t="s">
        <v>82</v>
      </c>
      <c r="B53" s="101">
        <v>-0.25</v>
      </c>
      <c r="C53" s="102">
        <v>-2369.216925073425</v>
      </c>
      <c r="D53" s="65" t="s">
        <v>82</v>
      </c>
      <c r="E53" s="101">
        <v>-0.25</v>
      </c>
      <c r="F53" s="102">
        <v>-1044.7300730824406</v>
      </c>
      <c r="G53" s="65" t="s">
        <v>83</v>
      </c>
      <c r="H53" s="101">
        <v>-0.25</v>
      </c>
      <c r="I53" s="102">
        <v>1403.3066047401121</v>
      </c>
    </row>
    <row r="54" spans="1:13" s="22" customFormat="1" ht="13.5" thickBot="1" x14ac:dyDescent="0.25">
      <c r="C54" s="102"/>
      <c r="F54" s="103"/>
      <c r="I54" s="102"/>
    </row>
    <row r="55" spans="1:13" s="22" customFormat="1" ht="13.5" thickBot="1" x14ac:dyDescent="0.25">
      <c r="B55" s="97" t="s">
        <v>66</v>
      </c>
      <c r="C55" s="104" t="s">
        <v>116</v>
      </c>
      <c r="E55" s="97" t="s">
        <v>66</v>
      </c>
      <c r="F55" s="105" t="s">
        <v>17</v>
      </c>
      <c r="H55" s="97" t="s">
        <v>66</v>
      </c>
      <c r="I55" s="104" t="s">
        <v>19</v>
      </c>
    </row>
    <row r="56" spans="1:13" s="22" customFormat="1" ht="13.5" thickBot="1" x14ac:dyDescent="0.25">
      <c r="B56" s="99" t="s">
        <v>115</v>
      </c>
      <c r="C56" s="100">
        <f>C42</f>
        <v>78.819752749127474</v>
      </c>
      <c r="E56" s="99" t="s">
        <v>115</v>
      </c>
      <c r="F56" s="100">
        <f>C42</f>
        <v>78.819752749127474</v>
      </c>
      <c r="H56" s="99" t="s">
        <v>115</v>
      </c>
      <c r="I56" s="100">
        <f>C42</f>
        <v>78.819752749127474</v>
      </c>
      <c r="M56" s="102"/>
    </row>
    <row r="57" spans="1:13" s="22" customFormat="1" x14ac:dyDescent="0.2">
      <c r="A57" s="65" t="s">
        <v>82</v>
      </c>
      <c r="B57" s="101">
        <v>0.25</v>
      </c>
      <c r="C57" s="102">
        <v>-872.13988115566019</v>
      </c>
      <c r="D57" s="65" t="s">
        <v>82</v>
      </c>
      <c r="E57" s="101">
        <v>0.25</v>
      </c>
      <c r="F57" s="102">
        <v>-71.263438289735859</v>
      </c>
      <c r="G57" s="65" t="s">
        <v>82</v>
      </c>
      <c r="H57" s="101">
        <v>0.25</v>
      </c>
      <c r="I57" s="102">
        <v>33.622923334855841</v>
      </c>
      <c r="L57" s="101"/>
    </row>
    <row r="58" spans="1:13" s="22" customFormat="1" x14ac:dyDescent="0.2">
      <c r="A58" s="65" t="s">
        <v>73</v>
      </c>
      <c r="B58" s="101">
        <v>0</v>
      </c>
      <c r="C58" s="102">
        <v>78.819752749127474</v>
      </c>
      <c r="D58" s="65" t="s">
        <v>73</v>
      </c>
      <c r="E58" s="101">
        <v>0</v>
      </c>
      <c r="F58" s="102">
        <v>78.819752749127474</v>
      </c>
      <c r="G58" s="65" t="s">
        <v>73</v>
      </c>
      <c r="H58" s="101">
        <v>0</v>
      </c>
      <c r="I58" s="102">
        <v>78.819752749127474</v>
      </c>
      <c r="L58" s="101"/>
    </row>
    <row r="59" spans="1:13" s="22" customFormat="1" x14ac:dyDescent="0.2">
      <c r="A59" s="65" t="s">
        <v>83</v>
      </c>
      <c r="B59" s="101">
        <v>-0.25</v>
      </c>
      <c r="C59" s="102">
        <v>1029.779386653915</v>
      </c>
      <c r="D59" s="65" t="s">
        <v>83</v>
      </c>
      <c r="E59" s="101">
        <v>-0.25</v>
      </c>
      <c r="F59" s="102">
        <v>228.90294378799092</v>
      </c>
      <c r="G59" s="65" t="s">
        <v>83</v>
      </c>
      <c r="H59" s="101">
        <v>-0.25</v>
      </c>
      <c r="I59" s="102">
        <v>127.61754778941349</v>
      </c>
      <c r="L59" s="101"/>
    </row>
    <row r="60" spans="1:13" s="22" customFormat="1" x14ac:dyDescent="0.2">
      <c r="A60" s="65"/>
      <c r="B60" s="101"/>
      <c r="C60" s="102"/>
      <c r="D60" s="65"/>
      <c r="E60" s="101"/>
      <c r="F60" s="102"/>
      <c r="G60" s="65"/>
      <c r="H60" s="101"/>
      <c r="I60" s="102"/>
      <c r="L60" s="101"/>
    </row>
    <row r="61" spans="1:13" s="22" customFormat="1" ht="15" x14ac:dyDescent="0.25">
      <c r="A61" s="573" t="s">
        <v>117</v>
      </c>
      <c r="B61" s="106"/>
      <c r="C61" s="106"/>
      <c r="D61" s="106"/>
      <c r="E61" s="106"/>
      <c r="F61" s="106"/>
      <c r="G61" s="106"/>
      <c r="H61" s="106"/>
      <c r="I61" s="107"/>
      <c r="J61" s="108"/>
      <c r="K61" s="109"/>
      <c r="L61" s="101"/>
    </row>
    <row r="62" spans="1:13" s="24" customFormat="1" x14ac:dyDescent="0.2">
      <c r="A62" s="110"/>
      <c r="B62" s="111"/>
      <c r="C62" s="111"/>
      <c r="D62" s="111"/>
      <c r="E62" s="111"/>
      <c r="F62" s="111"/>
      <c r="G62" s="111"/>
      <c r="H62" s="111"/>
      <c r="I62" s="112"/>
      <c r="J62" s="109"/>
      <c r="K62" s="109"/>
    </row>
    <row r="63" spans="1:13" s="24" customFormat="1" x14ac:dyDescent="0.2">
      <c r="A63" s="113"/>
      <c r="B63" s="111"/>
      <c r="C63" s="111"/>
      <c r="D63" s="111"/>
      <c r="E63" s="111"/>
      <c r="F63" s="111"/>
      <c r="G63" s="111"/>
      <c r="H63" s="111"/>
      <c r="I63" s="112"/>
      <c r="J63" s="109"/>
      <c r="K63" s="109"/>
    </row>
    <row r="64" spans="1:13" s="24" customFormat="1" x14ac:dyDescent="0.2">
      <c r="A64" s="113"/>
      <c r="B64" s="111"/>
      <c r="C64" s="111"/>
      <c r="D64" s="111"/>
      <c r="E64" s="111"/>
      <c r="F64" s="111"/>
      <c r="G64" s="111"/>
      <c r="H64" s="111"/>
      <c r="I64" s="112"/>
      <c r="J64" s="109"/>
      <c r="K64" s="109"/>
    </row>
    <row r="65" spans="1:11" s="24" customFormat="1" x14ac:dyDescent="0.2">
      <c r="A65" s="113"/>
      <c r="B65" s="111"/>
      <c r="C65" s="111"/>
      <c r="D65" s="111"/>
      <c r="E65" s="111"/>
      <c r="F65" s="111"/>
      <c r="G65" s="111"/>
      <c r="H65" s="111"/>
      <c r="I65" s="112"/>
      <c r="J65" s="109"/>
      <c r="K65" s="109"/>
    </row>
    <row r="66" spans="1:11" s="24" customFormat="1" x14ac:dyDescent="0.2">
      <c r="A66" s="113"/>
      <c r="B66" s="111"/>
      <c r="C66" s="111"/>
      <c r="D66" s="111"/>
      <c r="E66" s="111"/>
      <c r="F66" s="111"/>
      <c r="G66" s="111"/>
      <c r="H66" s="111"/>
      <c r="I66" s="112"/>
      <c r="J66" s="109"/>
      <c r="K66" s="109"/>
    </row>
    <row r="67" spans="1:11" s="24" customFormat="1" x14ac:dyDescent="0.2">
      <c r="A67" s="113"/>
      <c r="B67" s="111"/>
      <c r="C67" s="111"/>
      <c r="D67" s="111"/>
      <c r="E67" s="111"/>
      <c r="F67" s="111"/>
      <c r="G67" s="111"/>
      <c r="H67" s="111"/>
      <c r="I67" s="112"/>
      <c r="J67" s="109"/>
      <c r="K67" s="109"/>
    </row>
    <row r="68" spans="1:11" s="24" customFormat="1" x14ac:dyDescent="0.2">
      <c r="A68" s="113"/>
      <c r="B68" s="111"/>
      <c r="C68" s="111"/>
      <c r="D68" s="111"/>
      <c r="E68" s="111"/>
      <c r="F68" s="111"/>
      <c r="G68" s="111"/>
      <c r="H68" s="111"/>
      <c r="I68" s="112"/>
      <c r="J68" s="109"/>
      <c r="K68" s="109"/>
    </row>
    <row r="69" spans="1:11" s="24" customFormat="1" x14ac:dyDescent="0.2">
      <c r="A69" s="113"/>
      <c r="B69" s="111"/>
      <c r="C69" s="111"/>
      <c r="D69" s="111"/>
      <c r="E69" s="111"/>
      <c r="F69" s="111"/>
      <c r="G69" s="111"/>
      <c r="H69" s="111"/>
      <c r="I69" s="112"/>
      <c r="J69" s="109"/>
      <c r="K69" s="109"/>
    </row>
    <row r="70" spans="1:11" s="24" customFormat="1" x14ac:dyDescent="0.2">
      <c r="A70" s="113"/>
      <c r="B70" s="111"/>
      <c r="C70" s="111"/>
      <c r="D70" s="111"/>
      <c r="E70" s="111"/>
      <c r="F70" s="111"/>
      <c r="G70" s="111"/>
      <c r="H70" s="111"/>
      <c r="I70" s="112"/>
      <c r="J70" s="109"/>
      <c r="K70" s="109"/>
    </row>
    <row r="71" spans="1:11" s="24" customFormat="1" x14ac:dyDescent="0.2">
      <c r="A71" s="113"/>
      <c r="B71" s="111"/>
      <c r="C71" s="111"/>
      <c r="D71" s="111"/>
      <c r="E71" s="111"/>
      <c r="F71" s="111"/>
      <c r="G71" s="111"/>
      <c r="H71" s="111"/>
      <c r="I71" s="112"/>
      <c r="J71" s="109"/>
      <c r="K71" s="109"/>
    </row>
    <row r="72" spans="1:11" s="24" customFormat="1" x14ac:dyDescent="0.2">
      <c r="A72" s="113"/>
      <c r="B72" s="111"/>
      <c r="C72" s="111"/>
      <c r="D72" s="111"/>
      <c r="E72" s="111"/>
      <c r="F72" s="111"/>
      <c r="G72" s="111"/>
      <c r="H72" s="111"/>
      <c r="I72" s="112"/>
      <c r="J72" s="109"/>
      <c r="K72" s="109"/>
    </row>
    <row r="73" spans="1:11" s="24" customFormat="1" x14ac:dyDescent="0.2">
      <c r="A73" s="113"/>
      <c r="B73" s="111"/>
      <c r="C73" s="111"/>
      <c r="D73" s="111"/>
      <c r="E73" s="111"/>
      <c r="F73" s="111"/>
      <c r="G73" s="111"/>
      <c r="H73" s="111"/>
      <c r="I73" s="112"/>
      <c r="J73" s="109"/>
      <c r="K73" s="109"/>
    </row>
    <row r="74" spans="1:11" s="24" customFormat="1" x14ac:dyDescent="0.2">
      <c r="A74" s="113"/>
      <c r="B74" s="111"/>
      <c r="C74" s="111"/>
      <c r="D74" s="111"/>
      <c r="E74" s="111"/>
      <c r="F74" s="111"/>
      <c r="G74" s="111"/>
      <c r="H74" s="111"/>
      <c r="I74" s="112"/>
      <c r="J74" s="109"/>
      <c r="K74" s="109"/>
    </row>
    <row r="75" spans="1:11" s="24" customFormat="1" x14ac:dyDescent="0.2">
      <c r="A75" s="113"/>
      <c r="B75" s="111"/>
      <c r="C75" s="111"/>
      <c r="D75" s="111"/>
      <c r="E75" s="111"/>
      <c r="F75" s="111"/>
      <c r="G75" s="111"/>
      <c r="H75" s="111"/>
      <c r="I75" s="112"/>
      <c r="J75" s="109"/>
      <c r="K75" s="109"/>
    </row>
    <row r="76" spans="1:11" s="24" customFormat="1" x14ac:dyDescent="0.2">
      <c r="A76" s="113"/>
      <c r="B76" s="111"/>
      <c r="C76" s="111"/>
      <c r="D76" s="111"/>
      <c r="E76" s="111"/>
      <c r="F76" s="111"/>
      <c r="G76" s="111"/>
      <c r="H76" s="111"/>
      <c r="I76" s="112"/>
      <c r="J76" s="109"/>
      <c r="K76" s="109"/>
    </row>
    <row r="77" spans="1:11" s="24" customFormat="1" x14ac:dyDescent="0.2">
      <c r="A77" s="113"/>
      <c r="B77" s="111"/>
      <c r="C77" s="111"/>
      <c r="D77" s="111"/>
      <c r="E77" s="111"/>
      <c r="F77" s="111"/>
      <c r="G77" s="111"/>
      <c r="H77" s="111"/>
      <c r="I77" s="112"/>
      <c r="J77" s="109"/>
      <c r="K77" s="109"/>
    </row>
    <row r="78" spans="1:11" s="24" customFormat="1" x14ac:dyDescent="0.2">
      <c r="A78" s="113"/>
      <c r="B78" s="111"/>
      <c r="C78" s="111"/>
      <c r="D78" s="111"/>
      <c r="E78" s="111"/>
      <c r="F78" s="111"/>
      <c r="G78" s="111"/>
      <c r="H78" s="111"/>
      <c r="I78" s="112"/>
      <c r="J78" s="109"/>
      <c r="K78" s="109"/>
    </row>
    <row r="79" spans="1:11" s="24" customFormat="1" x14ac:dyDescent="0.2">
      <c r="A79" s="113"/>
      <c r="B79" s="111"/>
      <c r="C79" s="111"/>
      <c r="D79" s="111"/>
      <c r="E79" s="111"/>
      <c r="F79" s="111"/>
      <c r="G79" s="111"/>
      <c r="H79" s="111"/>
      <c r="I79" s="112"/>
      <c r="J79" s="109"/>
      <c r="K79" s="109"/>
    </row>
    <row r="80" spans="1:11" s="24" customFormat="1" x14ac:dyDescent="0.2">
      <c r="A80" s="113"/>
      <c r="B80" s="111"/>
      <c r="C80" s="111"/>
      <c r="D80" s="111"/>
      <c r="E80" s="111"/>
      <c r="F80" s="111"/>
      <c r="G80" s="111"/>
      <c r="H80" s="111"/>
      <c r="I80" s="112"/>
      <c r="J80" s="109"/>
      <c r="K80" s="109"/>
    </row>
    <row r="81" spans="1:20" s="24" customFormat="1" x14ac:dyDescent="0.2">
      <c r="A81" s="113"/>
      <c r="B81" s="111"/>
      <c r="C81" s="111"/>
      <c r="D81" s="111"/>
      <c r="E81" s="111"/>
      <c r="F81" s="111"/>
      <c r="G81" s="111"/>
      <c r="H81" s="111"/>
      <c r="I81" s="112"/>
      <c r="J81" s="109"/>
      <c r="K81" s="109"/>
    </row>
    <row r="82" spans="1:20" s="24" customFormat="1" x14ac:dyDescent="0.2">
      <c r="A82" s="113"/>
      <c r="B82" s="111"/>
      <c r="C82" s="111"/>
      <c r="D82" s="111"/>
      <c r="E82" s="111"/>
      <c r="F82" s="111"/>
      <c r="G82" s="111"/>
      <c r="H82" s="111"/>
      <c r="I82" s="112"/>
      <c r="J82" s="109"/>
      <c r="K82" s="109"/>
    </row>
    <row r="83" spans="1:20" s="24" customFormat="1" x14ac:dyDescent="0.2">
      <c r="A83" s="113"/>
      <c r="B83" s="111"/>
      <c r="C83" s="111"/>
      <c r="D83" s="111"/>
      <c r="E83" s="111"/>
      <c r="F83" s="111"/>
      <c r="G83" s="111"/>
      <c r="H83" s="111"/>
      <c r="I83" s="112"/>
      <c r="J83" s="109"/>
      <c r="K83" s="109"/>
    </row>
    <row r="84" spans="1:20" s="24" customFormat="1" x14ac:dyDescent="0.2">
      <c r="A84" s="113"/>
      <c r="B84" s="111"/>
      <c r="C84" s="111"/>
      <c r="D84" s="111"/>
      <c r="E84" s="111"/>
      <c r="F84" s="111"/>
      <c r="G84" s="111"/>
      <c r="H84" s="111"/>
      <c r="I84" s="112"/>
      <c r="J84" s="109"/>
      <c r="K84" s="109"/>
    </row>
    <row r="85" spans="1:20" s="24" customFormat="1" x14ac:dyDescent="0.2">
      <c r="A85" s="113"/>
      <c r="B85" s="111"/>
      <c r="C85" s="111"/>
      <c r="D85" s="111"/>
      <c r="E85" s="111"/>
      <c r="F85" s="111"/>
      <c r="G85" s="111"/>
      <c r="H85" s="111"/>
      <c r="I85" s="112"/>
      <c r="J85" s="109"/>
      <c r="K85" s="109"/>
    </row>
    <row r="86" spans="1:20" s="24" customFormat="1" x14ac:dyDescent="0.2">
      <c r="A86" s="113"/>
      <c r="B86" s="111"/>
      <c r="C86" s="111"/>
      <c r="D86" s="111"/>
      <c r="E86" s="111"/>
      <c r="F86" s="111"/>
      <c r="G86" s="111"/>
      <c r="H86" s="111"/>
      <c r="I86" s="112"/>
      <c r="J86" s="109"/>
      <c r="K86" s="109"/>
    </row>
    <row r="87" spans="1:20" s="24" customFormat="1" x14ac:dyDescent="0.2">
      <c r="A87" s="114"/>
      <c r="B87" s="216" t="s">
        <v>66</v>
      </c>
      <c r="C87" s="709" t="s">
        <v>118</v>
      </c>
      <c r="D87" s="710"/>
      <c r="E87" s="710"/>
      <c r="F87" s="710"/>
      <c r="G87" s="710"/>
      <c r="H87" s="711"/>
      <c r="I87" s="112"/>
      <c r="J87" s="109"/>
      <c r="K87" s="109"/>
    </row>
    <row r="88" spans="1:20" s="24" customFormat="1" x14ac:dyDescent="0.2">
      <c r="A88" s="114"/>
      <c r="B88" s="217" t="s">
        <v>115</v>
      </c>
      <c r="C88" s="218" t="s">
        <v>112</v>
      </c>
      <c r="D88" s="218" t="s">
        <v>114</v>
      </c>
      <c r="E88" s="218" t="s">
        <v>64</v>
      </c>
      <c r="F88" s="218" t="s">
        <v>116</v>
      </c>
      <c r="G88" s="218" t="s">
        <v>17</v>
      </c>
      <c r="H88" s="219" t="s">
        <v>19</v>
      </c>
      <c r="I88" s="112"/>
      <c r="J88" s="109"/>
      <c r="K88" s="109"/>
    </row>
    <row r="89" spans="1:20" s="24" customFormat="1" x14ac:dyDescent="0.2">
      <c r="A89" s="115"/>
      <c r="B89" s="116">
        <v>0.25</v>
      </c>
      <c r="C89" s="117">
        <f>C51</f>
        <v>2526.8564305716795</v>
      </c>
      <c r="D89" s="117">
        <f>I51</f>
        <v>-1245.667099241856</v>
      </c>
      <c r="E89" s="117">
        <f>F51</f>
        <v>1202.3695785806963</v>
      </c>
      <c r="F89" s="117">
        <f>C57</f>
        <v>-872.13988115566019</v>
      </c>
      <c r="G89" s="117">
        <f>F57</f>
        <v>-71.263438289735859</v>
      </c>
      <c r="H89" s="118">
        <f>I57</f>
        <v>33.622923334855841</v>
      </c>
      <c r="I89" s="112"/>
      <c r="J89" s="109"/>
      <c r="K89" s="109"/>
    </row>
    <row r="90" spans="1:20" s="24" customFormat="1" x14ac:dyDescent="0.2">
      <c r="A90" s="115"/>
      <c r="B90" s="119">
        <v>0</v>
      </c>
      <c r="C90" s="120">
        <f>C52</f>
        <v>78.819752749127474</v>
      </c>
      <c r="D90" s="120">
        <f>I52</f>
        <v>78.819752749127474</v>
      </c>
      <c r="E90" s="120">
        <f>F52</f>
        <v>78.819752749127474</v>
      </c>
      <c r="F90" s="120">
        <f>C58</f>
        <v>78.819752749127474</v>
      </c>
      <c r="G90" s="120">
        <f>F58</f>
        <v>78.819752749127474</v>
      </c>
      <c r="H90" s="121">
        <f>I58</f>
        <v>78.819752749127474</v>
      </c>
      <c r="I90" s="112"/>
      <c r="J90" s="109"/>
      <c r="K90" s="109"/>
    </row>
    <row r="91" spans="1:20" s="24" customFormat="1" x14ac:dyDescent="0.2">
      <c r="A91" s="122"/>
      <c r="B91" s="123">
        <v>-0.25</v>
      </c>
      <c r="C91" s="124">
        <f>C53</f>
        <v>-2369.216925073425</v>
      </c>
      <c r="D91" s="124">
        <f>I53</f>
        <v>1403.3066047401121</v>
      </c>
      <c r="E91" s="124">
        <f>F53</f>
        <v>-1044.7300730824406</v>
      </c>
      <c r="F91" s="124">
        <f>C59</f>
        <v>1029.779386653915</v>
      </c>
      <c r="G91" s="124">
        <f>F59</f>
        <v>228.90294378799092</v>
      </c>
      <c r="H91" s="125">
        <f>I59</f>
        <v>127.61754778941349</v>
      </c>
      <c r="I91" s="112"/>
      <c r="J91" s="109"/>
      <c r="K91" s="109"/>
    </row>
    <row r="92" spans="1:20" s="24" customFormat="1" ht="12.75" customHeight="1" x14ac:dyDescent="0.2">
      <c r="A92" s="113"/>
      <c r="B92" s="126" t="s">
        <v>65</v>
      </c>
      <c r="C92" s="127">
        <f>C89-C91</f>
        <v>4896.073355645105</v>
      </c>
      <c r="D92" s="127">
        <f>D91-D89</f>
        <v>2648.9737039819684</v>
      </c>
      <c r="E92" s="127">
        <f>E89-E91</f>
        <v>2247.0996516631367</v>
      </c>
      <c r="F92" s="127">
        <f>F91-F89</f>
        <v>1901.9192678095751</v>
      </c>
      <c r="G92" s="127">
        <f>G91-G89</f>
        <v>300.16638207772678</v>
      </c>
      <c r="H92" s="128">
        <f>H91-H89</f>
        <v>93.994624454557652</v>
      </c>
      <c r="I92" s="129"/>
      <c r="J92" s="109"/>
      <c r="K92" s="109"/>
    </row>
    <row r="93" spans="1:20" s="24" customFormat="1" ht="14.25" customHeight="1" x14ac:dyDescent="0.2">
      <c r="A93" s="130" t="s">
        <v>119</v>
      </c>
      <c r="B93" s="111"/>
      <c r="C93" s="111"/>
      <c r="D93" s="111"/>
      <c r="E93" s="111"/>
      <c r="F93" s="111"/>
      <c r="G93" s="111"/>
      <c r="H93" s="111"/>
      <c r="I93" s="112"/>
      <c r="J93" s="109"/>
      <c r="K93" s="109"/>
    </row>
    <row r="94" spans="1:20" s="133" customFormat="1" ht="29.25" customHeight="1" x14ac:dyDescent="0.2">
      <c r="A94" s="712" t="s">
        <v>120</v>
      </c>
      <c r="B94" s="697"/>
      <c r="C94" s="697"/>
      <c r="D94" s="697"/>
      <c r="E94" s="697"/>
      <c r="F94" s="697"/>
      <c r="G94" s="697"/>
      <c r="H94" s="697"/>
      <c r="I94" s="131"/>
      <c r="J94" s="132"/>
      <c r="K94" s="132"/>
    </row>
    <row r="95" spans="1:20" s="24" customFormat="1" ht="57" customHeight="1" x14ac:dyDescent="0.2">
      <c r="A95" s="696" t="s">
        <v>121</v>
      </c>
      <c r="B95" s="697"/>
      <c r="C95" s="697"/>
      <c r="D95" s="697"/>
      <c r="E95" s="697"/>
      <c r="F95" s="697"/>
      <c r="G95" s="697"/>
      <c r="H95" s="697"/>
      <c r="I95" s="134"/>
      <c r="K95" s="109"/>
      <c r="L95" s="662"/>
      <c r="M95" s="666"/>
      <c r="N95" s="666"/>
      <c r="O95" s="666"/>
      <c r="P95" s="666"/>
      <c r="Q95" s="666"/>
      <c r="R95" s="666"/>
      <c r="S95" s="666"/>
      <c r="T95" s="666"/>
    </row>
    <row r="96" spans="1:20" s="24" customFormat="1" ht="56.25" customHeight="1" x14ac:dyDescent="0.2">
      <c r="A96" s="698" t="s">
        <v>122</v>
      </c>
      <c r="B96" s="699"/>
      <c r="C96" s="699"/>
      <c r="D96" s="699"/>
      <c r="E96" s="699"/>
      <c r="F96" s="699"/>
      <c r="G96" s="699"/>
      <c r="H96" s="699"/>
      <c r="I96" s="135"/>
      <c r="K96" s="109"/>
      <c r="L96" s="13"/>
      <c r="M96" s="13"/>
      <c r="N96" s="13"/>
      <c r="O96" s="13"/>
      <c r="P96" s="13"/>
      <c r="Q96" s="13"/>
      <c r="R96" s="13"/>
      <c r="S96" s="13"/>
      <c r="T96" s="1"/>
    </row>
    <row r="97" spans="1:20" s="24" customFormat="1" x14ac:dyDescent="0.2">
      <c r="A97" s="554"/>
      <c r="B97" s="554"/>
      <c r="C97" s="554"/>
      <c r="D97" s="554"/>
      <c r="E97" s="554"/>
      <c r="F97" s="554"/>
      <c r="G97" s="554"/>
      <c r="H97" s="554"/>
      <c r="I97" s="578"/>
      <c r="K97" s="109"/>
      <c r="L97" s="13"/>
      <c r="M97" s="13"/>
      <c r="N97" s="13"/>
      <c r="O97" s="13"/>
      <c r="P97" s="13"/>
      <c r="Q97" s="13"/>
      <c r="R97" s="13"/>
      <c r="S97" s="13"/>
      <c r="T97" s="1"/>
    </row>
    <row r="98" spans="1:20" s="24" customFormat="1" ht="41.25" customHeight="1" x14ac:dyDescent="0.2">
      <c r="A98" s="662" t="s">
        <v>243</v>
      </c>
      <c r="B98" s="666"/>
      <c r="C98" s="666"/>
      <c r="D98" s="666"/>
      <c r="E98" s="666"/>
      <c r="F98" s="666"/>
      <c r="G98" s="666"/>
      <c r="H98" s="666"/>
      <c r="I98" s="666"/>
      <c r="K98" s="109"/>
      <c r="L98" s="13"/>
      <c r="M98" s="13"/>
      <c r="N98" s="13"/>
      <c r="O98" s="13"/>
      <c r="P98" s="13"/>
      <c r="Q98" s="13"/>
      <c r="R98" s="13"/>
      <c r="S98" s="13"/>
      <c r="T98" s="1"/>
    </row>
    <row r="99" spans="1:20" s="24" customFormat="1" x14ac:dyDescent="0.2">
      <c r="A99" s="554"/>
      <c r="B99" s="554"/>
      <c r="C99" s="554"/>
      <c r="D99" s="554"/>
      <c r="E99" s="554"/>
      <c r="F99" s="554"/>
      <c r="G99" s="554"/>
      <c r="H99" s="554"/>
      <c r="I99" s="578"/>
      <c r="K99" s="109"/>
      <c r="L99" s="13"/>
      <c r="M99" s="13"/>
      <c r="N99" s="13"/>
      <c r="O99" s="13"/>
      <c r="P99" s="13"/>
      <c r="Q99" s="13"/>
      <c r="R99" s="13"/>
      <c r="S99" s="13"/>
      <c r="T99" s="1"/>
    </row>
    <row r="100" spans="1:20" s="24" customFormat="1" ht="93" customHeight="1" x14ac:dyDescent="0.2">
      <c r="A100" s="662" t="s">
        <v>240</v>
      </c>
      <c r="B100" s="666"/>
      <c r="C100" s="666"/>
      <c r="D100" s="666"/>
      <c r="E100" s="666"/>
      <c r="F100" s="666"/>
      <c r="G100" s="666"/>
      <c r="H100" s="666"/>
      <c r="I100" s="666"/>
      <c r="K100" s="109"/>
      <c r="L100" s="13"/>
      <c r="M100" s="13"/>
      <c r="N100" s="13"/>
      <c r="O100" s="13"/>
      <c r="P100" s="13"/>
      <c r="Q100" s="13"/>
      <c r="R100" s="13"/>
      <c r="S100" s="13"/>
      <c r="T100" s="1"/>
    </row>
    <row r="101" spans="1:20" s="24" customFormat="1" x14ac:dyDescent="0.2">
      <c r="A101" s="9"/>
      <c r="B101" s="553"/>
      <c r="C101" s="553"/>
      <c r="D101" s="553"/>
      <c r="E101" s="553"/>
      <c r="F101" s="553"/>
      <c r="G101" s="553"/>
      <c r="H101" s="553"/>
      <c r="I101" s="553"/>
      <c r="K101" s="109"/>
      <c r="L101" s="13"/>
      <c r="M101" s="13"/>
      <c r="N101" s="13"/>
      <c r="O101" s="13"/>
      <c r="P101" s="13"/>
      <c r="Q101" s="13"/>
      <c r="R101" s="13"/>
      <c r="S101" s="13"/>
      <c r="T101" s="1"/>
    </row>
    <row r="102" spans="1:20" s="24" customFormat="1" ht="15.75" x14ac:dyDescent="0.2">
      <c r="A102" s="691" t="s">
        <v>241</v>
      </c>
      <c r="B102" s="691"/>
      <c r="C102" s="691"/>
      <c r="D102" s="691"/>
      <c r="E102" s="691"/>
      <c r="F102" s="553"/>
      <c r="G102" s="553"/>
      <c r="H102" s="553"/>
      <c r="I102" s="553"/>
      <c r="K102" s="109"/>
      <c r="L102" s="13"/>
      <c r="M102" s="13"/>
      <c r="N102" s="13"/>
      <c r="O102" s="13"/>
      <c r="P102" s="13"/>
      <c r="Q102" s="13"/>
      <c r="R102" s="13"/>
      <c r="S102" s="13"/>
      <c r="T102" s="1"/>
    </row>
    <row r="103" spans="1:20" s="24" customFormat="1" x14ac:dyDescent="0.2">
      <c r="A103" s="9"/>
      <c r="B103" s="553"/>
      <c r="C103" s="553"/>
      <c r="D103" s="553"/>
      <c r="E103" s="553"/>
      <c r="F103" s="553"/>
      <c r="G103" s="553"/>
      <c r="H103" s="553"/>
      <c r="I103" s="553"/>
      <c r="K103" s="109"/>
      <c r="L103" s="13"/>
      <c r="M103" s="13"/>
      <c r="N103" s="13"/>
      <c r="O103" s="13"/>
      <c r="P103" s="13"/>
      <c r="Q103" s="13"/>
      <c r="R103" s="13"/>
      <c r="S103" s="13"/>
      <c r="T103" s="1"/>
    </row>
    <row r="104" spans="1:20" s="24" customFormat="1" ht="116.25" customHeight="1" x14ac:dyDescent="0.2">
      <c r="A104" s="662" t="s">
        <v>244</v>
      </c>
      <c r="B104" s="666"/>
      <c r="C104" s="666"/>
      <c r="D104" s="666"/>
      <c r="E104" s="666"/>
      <c r="F104" s="666"/>
      <c r="G104" s="666"/>
      <c r="H104" s="666"/>
      <c r="I104" s="666"/>
      <c r="K104" s="109"/>
      <c r="L104" s="13"/>
      <c r="M104" s="13"/>
      <c r="N104" s="13"/>
      <c r="O104" s="13"/>
      <c r="P104" s="13"/>
      <c r="Q104" s="13"/>
      <c r="R104" s="13"/>
      <c r="S104" s="13"/>
      <c r="T104" s="1"/>
    </row>
    <row r="105" spans="1:20" s="24" customFormat="1" x14ac:dyDescent="0.2">
      <c r="A105" s="9"/>
      <c r="B105" s="553"/>
      <c r="C105" s="553"/>
      <c r="D105" s="553"/>
      <c r="E105" s="553"/>
      <c r="F105" s="553"/>
      <c r="G105" s="553"/>
      <c r="H105" s="553"/>
      <c r="I105" s="553"/>
      <c r="K105" s="109"/>
      <c r="L105" s="13"/>
      <c r="M105" s="13"/>
      <c r="N105" s="13"/>
      <c r="O105" s="13"/>
      <c r="P105" s="13"/>
      <c r="Q105" s="13"/>
      <c r="R105" s="13"/>
      <c r="S105" s="13"/>
      <c r="T105" s="1"/>
    </row>
    <row r="106" spans="1:20" s="24" customFormat="1" x14ac:dyDescent="0.2">
      <c r="A106" s="662"/>
      <c r="B106" s="666"/>
      <c r="C106" s="666"/>
      <c r="D106" s="666"/>
      <c r="E106" s="666"/>
      <c r="F106" s="666"/>
      <c r="G106" s="666"/>
      <c r="H106" s="666"/>
      <c r="I106" s="666"/>
      <c r="K106" s="109"/>
      <c r="L106" s="13"/>
      <c r="M106" s="13"/>
      <c r="N106" s="13"/>
      <c r="O106" s="13"/>
      <c r="P106" s="13"/>
      <c r="Q106" s="13"/>
      <c r="R106" s="13"/>
      <c r="S106" s="13"/>
      <c r="T106" s="1"/>
    </row>
    <row r="107" spans="1:20" s="24" customFormat="1" x14ac:dyDescent="0.2">
      <c r="A107" s="554"/>
      <c r="B107" s="554"/>
      <c r="C107" s="554"/>
      <c r="D107" s="554"/>
      <c r="E107" s="554"/>
      <c r="F107" s="554"/>
      <c r="G107" s="554"/>
      <c r="H107" s="554"/>
      <c r="I107" s="578"/>
      <c r="K107" s="109"/>
      <c r="L107" s="13"/>
      <c r="M107" s="13"/>
      <c r="N107" s="13"/>
      <c r="O107" s="13"/>
      <c r="P107" s="13"/>
      <c r="Q107" s="13"/>
      <c r="R107" s="13"/>
      <c r="S107" s="13"/>
      <c r="T107" s="1"/>
    </row>
    <row r="108" spans="1:20" ht="15" x14ac:dyDescent="0.25">
      <c r="A108" s="574" t="s">
        <v>123</v>
      </c>
      <c r="B108" s="109"/>
      <c r="C108" s="109"/>
      <c r="D108" s="109"/>
      <c r="E108" s="109"/>
      <c r="F108" s="109"/>
      <c r="G108" s="109"/>
      <c r="H108" s="109"/>
      <c r="I108" s="109"/>
      <c r="J108" s="137"/>
      <c r="K108" s="137"/>
      <c r="L108" s="662"/>
      <c r="M108" s="666"/>
      <c r="N108" s="666"/>
      <c r="O108" s="666"/>
      <c r="P108" s="666"/>
      <c r="Q108" s="666"/>
      <c r="R108" s="666"/>
      <c r="S108" s="666"/>
      <c r="T108" s="666"/>
    </row>
    <row r="109" spans="1:20" x14ac:dyDescent="0.2">
      <c r="A109" s="138" t="s">
        <v>124</v>
      </c>
      <c r="B109" s="139"/>
      <c r="C109" s="140"/>
      <c r="D109" s="141"/>
      <c r="E109" s="141"/>
      <c r="F109" s="141"/>
      <c r="G109" s="142"/>
      <c r="H109" s="142"/>
      <c r="I109" s="109"/>
      <c r="J109" s="137"/>
      <c r="K109" s="137"/>
    </row>
    <row r="110" spans="1:20" x14ac:dyDescent="0.2">
      <c r="A110" s="143"/>
      <c r="B110" s="137"/>
      <c r="C110" s="144"/>
      <c r="D110" s="145"/>
      <c r="E110" s="145" t="s">
        <v>76</v>
      </c>
      <c r="F110" s="145"/>
      <c r="G110" s="145"/>
      <c r="H110" s="137"/>
      <c r="I110" s="137"/>
      <c r="J110" s="137"/>
      <c r="K110" s="137"/>
    </row>
    <row r="111" spans="1:20" x14ac:dyDescent="0.2">
      <c r="A111" s="137"/>
      <c r="B111" s="146" t="s">
        <v>72</v>
      </c>
      <c r="C111" s="147">
        <v>0</v>
      </c>
      <c r="D111" s="148">
        <v>1</v>
      </c>
      <c r="E111" s="148">
        <v>2</v>
      </c>
      <c r="F111" s="148">
        <v>3</v>
      </c>
      <c r="G111" s="149">
        <v>4</v>
      </c>
      <c r="H111" s="150" t="s">
        <v>19</v>
      </c>
      <c r="I111" s="151" t="s">
        <v>52</v>
      </c>
      <c r="J111" s="137"/>
      <c r="K111" s="137"/>
    </row>
    <row r="112" spans="1:20" x14ac:dyDescent="0.2">
      <c r="A112" s="220" t="s">
        <v>57</v>
      </c>
      <c r="B112" s="221">
        <v>0.25</v>
      </c>
      <c r="C112" s="222">
        <v>-750</v>
      </c>
      <c r="D112" s="223">
        <v>2685.2249999999999</v>
      </c>
      <c r="E112" s="223">
        <v>2519.625</v>
      </c>
      <c r="F112" s="223">
        <v>2389.875</v>
      </c>
      <c r="G112" s="223">
        <v>2134.65</v>
      </c>
      <c r="H112" s="224">
        <v>7.4999999999999997E-2</v>
      </c>
      <c r="I112" s="225">
        <f>NPV(H112,D112:G112)+C112</f>
        <v>7450.379595946064</v>
      </c>
      <c r="J112" s="137"/>
      <c r="K112" s="137"/>
    </row>
    <row r="113" spans="1:80" x14ac:dyDescent="0.2">
      <c r="A113" s="152" t="s">
        <v>53</v>
      </c>
      <c r="B113" s="153">
        <v>0.5</v>
      </c>
      <c r="C113" s="154">
        <v>-1000</v>
      </c>
      <c r="D113" s="155">
        <v>500</v>
      </c>
      <c r="E113" s="155">
        <v>400</v>
      </c>
      <c r="F113" s="155">
        <v>300</v>
      </c>
      <c r="G113" s="155">
        <v>100</v>
      </c>
      <c r="H113" s="156">
        <v>0.1</v>
      </c>
      <c r="I113" s="157">
        <f>NPV(H113,D113:G113)+C113</f>
        <v>78.819752749129066</v>
      </c>
      <c r="J113" s="137"/>
      <c r="K113" s="137"/>
    </row>
    <row r="114" spans="1:80" x14ac:dyDescent="0.2">
      <c r="A114" s="592" t="s">
        <v>74</v>
      </c>
      <c r="B114" s="158">
        <v>0.25</v>
      </c>
      <c r="C114" s="159">
        <v>-1250</v>
      </c>
      <c r="D114" s="160">
        <v>-1077.375</v>
      </c>
      <c r="E114" s="160">
        <v>-1119.375</v>
      </c>
      <c r="F114" s="160">
        <v>-1213.125</v>
      </c>
      <c r="G114" s="160">
        <v>-1342.75</v>
      </c>
      <c r="H114" s="161">
        <v>0.125</v>
      </c>
      <c r="I114" s="162">
        <f>NPV(H114,D114:G114)+C114</f>
        <v>-4782.3997866178934</v>
      </c>
      <c r="J114" s="137"/>
      <c r="K114" s="137"/>
      <c r="M114" s="163"/>
      <c r="N114" s="163"/>
      <c r="O114" s="163"/>
      <c r="P114" s="163"/>
      <c r="Q114" s="163"/>
      <c r="R114" s="163"/>
      <c r="S114" s="163"/>
      <c r="T114" s="163"/>
    </row>
    <row r="115" spans="1:80" s="137" customFormat="1" x14ac:dyDescent="0.2">
      <c r="A115" s="164"/>
      <c r="B115" s="165"/>
      <c r="C115" s="109"/>
      <c r="D115" s="109"/>
      <c r="E115" s="55"/>
      <c r="F115" s="109"/>
      <c r="G115" s="166" t="s">
        <v>125</v>
      </c>
      <c r="I115" s="225">
        <f>I112*B112+I113*B113+I114*B114</f>
        <v>706.4048287066073</v>
      </c>
      <c r="K115" s="164"/>
      <c r="L115" s="167"/>
      <c r="M115" s="77"/>
      <c r="N115" s="77"/>
      <c r="O115" s="8"/>
      <c r="P115" s="77"/>
      <c r="Q115" s="168"/>
      <c r="R115" s="163"/>
      <c r="S115" s="169"/>
      <c r="T115" s="163"/>
      <c r="U115" s="170"/>
      <c r="V115" s="170"/>
      <c r="W115" s="170"/>
      <c r="X115" s="170"/>
      <c r="Y115" s="170"/>
      <c r="Z115" s="170"/>
      <c r="AA115" s="170"/>
      <c r="AB115" s="170"/>
      <c r="AC115" s="170"/>
      <c r="AD115" s="170"/>
      <c r="AE115" s="170"/>
      <c r="AF115" s="170"/>
      <c r="AG115" s="170"/>
      <c r="AH115" s="170"/>
      <c r="AI115" s="170"/>
      <c r="AJ115" s="170"/>
      <c r="AK115" s="170"/>
      <c r="AL115" s="170"/>
      <c r="AM115" s="170"/>
      <c r="AN115" s="170"/>
      <c r="AO115" s="170"/>
      <c r="AP115" s="170"/>
      <c r="AQ115" s="170"/>
      <c r="AR115" s="170"/>
      <c r="AS115" s="170"/>
      <c r="AT115" s="170"/>
      <c r="AU115" s="170"/>
      <c r="AV115" s="170"/>
      <c r="AW115" s="170"/>
      <c r="AX115" s="170"/>
      <c r="AY115" s="170"/>
      <c r="AZ115" s="170"/>
      <c r="BA115" s="170"/>
      <c r="BB115" s="170"/>
      <c r="BC115" s="170"/>
      <c r="BD115" s="170"/>
      <c r="BE115" s="170"/>
      <c r="BF115" s="170"/>
      <c r="BG115" s="170"/>
      <c r="BH115" s="170"/>
      <c r="BI115" s="170"/>
      <c r="BJ115" s="170"/>
      <c r="BK115" s="170"/>
      <c r="BL115" s="170"/>
      <c r="BM115" s="170"/>
      <c r="BN115" s="170"/>
      <c r="BO115" s="170"/>
      <c r="BP115" s="170"/>
      <c r="BQ115" s="170"/>
      <c r="BR115" s="170"/>
      <c r="BS115" s="170"/>
      <c r="BT115" s="170"/>
      <c r="BU115" s="170"/>
      <c r="BV115" s="170"/>
      <c r="BW115" s="170"/>
      <c r="BX115" s="170"/>
      <c r="BY115" s="170"/>
      <c r="BZ115" s="170"/>
      <c r="CA115" s="170"/>
      <c r="CB115" s="170"/>
    </row>
    <row r="116" spans="1:80" s="137" customFormat="1" x14ac:dyDescent="0.2">
      <c r="A116" s="164"/>
      <c r="B116" s="171"/>
      <c r="C116" s="109"/>
      <c r="D116" s="109"/>
      <c r="E116" s="55"/>
      <c r="F116" s="109"/>
      <c r="G116" s="166" t="s">
        <v>237</v>
      </c>
      <c r="I116" s="226">
        <f>STDEVP(I112,I113,I113,I114)</f>
        <v>4370.2373454281387</v>
      </c>
      <c r="K116" s="164"/>
      <c r="L116" s="172"/>
      <c r="M116" s="77"/>
      <c r="N116" s="77"/>
      <c r="O116" s="8"/>
      <c r="P116" s="77"/>
      <c r="Q116" s="168"/>
      <c r="R116" s="163"/>
      <c r="S116" s="169"/>
      <c r="T116" s="163"/>
      <c r="U116" s="170"/>
      <c r="V116" s="170"/>
      <c r="W116" s="170"/>
      <c r="X116" s="170"/>
      <c r="Y116" s="170"/>
      <c r="Z116" s="170"/>
      <c r="AA116" s="170"/>
      <c r="AB116" s="170"/>
      <c r="AC116" s="170"/>
      <c r="AD116" s="170"/>
      <c r="AE116" s="170"/>
      <c r="AF116" s="170"/>
      <c r="AG116" s="170"/>
      <c r="AH116" s="170"/>
      <c r="AI116" s="170"/>
      <c r="AJ116" s="170"/>
      <c r="AK116" s="170"/>
      <c r="AL116" s="170"/>
      <c r="AM116" s="170"/>
      <c r="AN116" s="170"/>
      <c r="AO116" s="170"/>
      <c r="AP116" s="170"/>
      <c r="AQ116" s="170"/>
      <c r="AR116" s="170"/>
      <c r="AS116" s="170"/>
      <c r="AT116" s="170"/>
      <c r="AU116" s="170"/>
      <c r="AV116" s="170"/>
      <c r="AW116" s="170"/>
      <c r="AX116" s="170"/>
      <c r="AY116" s="170"/>
      <c r="AZ116" s="170"/>
      <c r="BA116" s="170"/>
      <c r="BB116" s="170"/>
      <c r="BC116" s="170"/>
      <c r="BD116" s="170"/>
      <c r="BE116" s="170"/>
      <c r="BF116" s="170"/>
      <c r="BG116" s="170"/>
      <c r="BH116" s="170"/>
      <c r="BI116" s="170"/>
      <c r="BJ116" s="170"/>
      <c r="BK116" s="170"/>
      <c r="BL116" s="170"/>
      <c r="BM116" s="170"/>
      <c r="BN116" s="170"/>
      <c r="BO116" s="170"/>
      <c r="BP116" s="170"/>
      <c r="BQ116" s="170"/>
      <c r="BR116" s="170"/>
      <c r="BS116" s="170"/>
      <c r="BT116" s="170"/>
      <c r="BU116" s="170"/>
      <c r="BV116" s="170"/>
      <c r="BW116" s="170"/>
      <c r="BX116" s="170"/>
      <c r="BY116" s="170"/>
      <c r="BZ116" s="170"/>
      <c r="CA116" s="170"/>
      <c r="CB116" s="170"/>
    </row>
    <row r="117" spans="1:80" s="137" customFormat="1" x14ac:dyDescent="0.2">
      <c r="A117" s="164"/>
      <c r="B117" s="171"/>
      <c r="C117" s="109"/>
      <c r="D117" s="109"/>
      <c r="E117" s="55"/>
      <c r="F117" s="109"/>
      <c r="G117" s="166" t="s">
        <v>126</v>
      </c>
      <c r="I117" s="227">
        <f>I116/I115</f>
        <v>6.1865904193064898</v>
      </c>
      <c r="K117" s="164"/>
      <c r="L117" s="172"/>
      <c r="M117" s="77"/>
      <c r="N117" s="77"/>
      <c r="O117" s="8"/>
      <c r="P117" s="77"/>
      <c r="Q117" s="168"/>
      <c r="R117" s="163"/>
      <c r="S117" s="173"/>
      <c r="T117" s="163"/>
      <c r="U117" s="170"/>
      <c r="V117" s="170"/>
      <c r="W117" s="170"/>
      <c r="X117" s="170"/>
      <c r="Y117" s="170"/>
      <c r="Z117" s="170"/>
      <c r="AA117" s="170"/>
      <c r="AB117" s="170"/>
      <c r="AC117" s="170"/>
      <c r="AD117" s="170"/>
      <c r="AE117" s="170"/>
      <c r="AF117" s="170"/>
      <c r="AG117" s="170"/>
      <c r="AH117" s="170"/>
      <c r="AI117" s="170"/>
      <c r="AJ117" s="170"/>
      <c r="AK117" s="170"/>
      <c r="AL117" s="170"/>
      <c r="AM117" s="170"/>
      <c r="AN117" s="170"/>
      <c r="AO117" s="170"/>
      <c r="AP117" s="170"/>
      <c r="AQ117" s="170"/>
      <c r="AR117" s="170"/>
      <c r="AS117" s="170"/>
      <c r="AT117" s="170"/>
      <c r="AU117" s="170"/>
      <c r="AV117" s="170"/>
      <c r="AW117" s="170"/>
      <c r="AX117" s="170"/>
      <c r="AY117" s="170"/>
      <c r="AZ117" s="170"/>
      <c r="BA117" s="170"/>
      <c r="BB117" s="170"/>
      <c r="BC117" s="170"/>
      <c r="BD117" s="170"/>
      <c r="BE117" s="170"/>
      <c r="BF117" s="170"/>
      <c r="BG117" s="170"/>
      <c r="BH117" s="170"/>
      <c r="BI117" s="170"/>
      <c r="BJ117" s="170"/>
      <c r="BK117" s="170"/>
      <c r="BL117" s="170"/>
      <c r="BM117" s="170"/>
      <c r="BN117" s="170"/>
      <c r="BO117" s="170"/>
      <c r="BP117" s="170"/>
      <c r="BQ117" s="170"/>
      <c r="BR117" s="170"/>
      <c r="BS117" s="170"/>
      <c r="BT117" s="170"/>
      <c r="BU117" s="170"/>
      <c r="BV117" s="170"/>
      <c r="BW117" s="170"/>
      <c r="BX117" s="170"/>
      <c r="BY117" s="170"/>
      <c r="BZ117" s="170"/>
      <c r="CA117" s="170"/>
      <c r="CB117" s="170"/>
    </row>
    <row r="118" spans="1:80" s="137" customFormat="1" x14ac:dyDescent="0.2">
      <c r="B118" s="174"/>
      <c r="C118" s="175"/>
      <c r="D118" s="176"/>
      <c r="E118" s="176"/>
      <c r="F118" s="176"/>
      <c r="G118" s="176"/>
      <c r="H118" s="176"/>
      <c r="I118" s="177"/>
      <c r="L118" s="170"/>
      <c r="M118" s="163"/>
      <c r="N118" s="163"/>
      <c r="O118" s="163"/>
      <c r="P118" s="163"/>
      <c r="Q118" s="163"/>
      <c r="R118" s="163"/>
      <c r="S118" s="163"/>
      <c r="T118" s="163"/>
      <c r="U118" s="170"/>
      <c r="V118" s="170"/>
      <c r="W118" s="170"/>
      <c r="X118" s="170"/>
      <c r="Y118" s="170"/>
      <c r="Z118" s="170"/>
      <c r="AA118" s="170"/>
      <c r="AB118" s="170"/>
      <c r="AC118" s="170"/>
      <c r="AD118" s="170"/>
      <c r="AE118" s="170"/>
      <c r="AF118" s="170"/>
      <c r="AG118" s="170"/>
      <c r="AH118" s="170"/>
      <c r="AI118" s="170"/>
      <c r="AJ118" s="170"/>
      <c r="AK118" s="170"/>
      <c r="AL118" s="170"/>
      <c r="AM118" s="170"/>
      <c r="AN118" s="170"/>
      <c r="AO118" s="170"/>
      <c r="AP118" s="170"/>
      <c r="AQ118" s="170"/>
      <c r="AR118" s="170"/>
      <c r="AS118" s="170"/>
      <c r="AT118" s="170"/>
      <c r="AU118" s="170"/>
      <c r="AV118" s="170"/>
      <c r="AW118" s="170"/>
      <c r="AX118" s="170"/>
      <c r="AY118" s="170"/>
      <c r="AZ118" s="170"/>
      <c r="BA118" s="170"/>
      <c r="BB118" s="170"/>
      <c r="BC118" s="170"/>
      <c r="BD118" s="170"/>
      <c r="BE118" s="170"/>
      <c r="BF118" s="170"/>
      <c r="BG118" s="170"/>
      <c r="BH118" s="170"/>
      <c r="BI118" s="170"/>
      <c r="BJ118" s="170"/>
      <c r="BK118" s="170"/>
      <c r="BL118" s="170"/>
      <c r="BM118" s="170"/>
      <c r="BN118" s="170"/>
      <c r="BO118" s="170"/>
      <c r="BP118" s="170"/>
      <c r="BQ118" s="170"/>
      <c r="BR118" s="170"/>
      <c r="BS118" s="170"/>
      <c r="BT118" s="170"/>
      <c r="BU118" s="170"/>
      <c r="BV118" s="170"/>
      <c r="BW118" s="170"/>
      <c r="BX118" s="170"/>
      <c r="BY118" s="170"/>
      <c r="BZ118" s="170"/>
      <c r="CA118" s="170"/>
      <c r="CB118" s="170"/>
    </row>
    <row r="119" spans="1:80" ht="15.75" x14ac:dyDescent="0.25">
      <c r="A119" s="136"/>
      <c r="B119" s="109"/>
      <c r="C119" s="109"/>
      <c r="D119" s="109"/>
      <c r="E119" s="109"/>
      <c r="F119" s="109"/>
      <c r="G119" s="109"/>
      <c r="H119" s="109"/>
      <c r="I119" s="109"/>
      <c r="J119" s="137"/>
      <c r="K119" s="137"/>
      <c r="M119" s="163"/>
      <c r="N119" s="163"/>
      <c r="O119" s="163"/>
      <c r="P119" s="163"/>
      <c r="Q119" s="163"/>
      <c r="R119" s="163"/>
      <c r="S119" s="163"/>
      <c r="T119" s="163"/>
    </row>
    <row r="120" spans="1:80" ht="18.75" customHeight="1" x14ac:dyDescent="0.2">
      <c r="A120" s="560"/>
      <c r="B120" s="561"/>
      <c r="C120" s="562"/>
      <c r="D120" s="689" t="s">
        <v>58</v>
      </c>
      <c r="E120" s="689"/>
      <c r="F120" s="563"/>
      <c r="G120" s="563"/>
      <c r="H120" s="563"/>
      <c r="I120" s="564"/>
      <c r="J120" s="137"/>
      <c r="K120" s="137"/>
      <c r="M120" s="163"/>
      <c r="N120" s="163"/>
      <c r="O120" s="163"/>
      <c r="P120" s="163"/>
      <c r="Q120" s="163"/>
      <c r="R120" s="163"/>
      <c r="S120" s="163"/>
      <c r="T120" s="163"/>
    </row>
    <row r="121" spans="1:80" x14ac:dyDescent="0.2">
      <c r="A121" s="565" t="s">
        <v>127</v>
      </c>
      <c r="B121" s="566"/>
      <c r="C121" s="566"/>
      <c r="D121" s="703" t="s">
        <v>128</v>
      </c>
      <c r="E121" s="566"/>
      <c r="F121" s="566"/>
      <c r="G121" s="566"/>
      <c r="H121" s="566"/>
      <c r="I121" s="567"/>
      <c r="J121" s="137"/>
      <c r="K121" s="137"/>
    </row>
    <row r="122" spans="1:80" x14ac:dyDescent="0.2">
      <c r="A122" s="565"/>
      <c r="B122" s="566"/>
      <c r="C122" s="566"/>
      <c r="D122" s="704"/>
      <c r="E122" s="566"/>
      <c r="F122" s="566"/>
      <c r="G122" s="566"/>
      <c r="H122" s="566"/>
      <c r="I122" s="567"/>
      <c r="J122" s="137"/>
      <c r="K122" s="137"/>
      <c r="M122" s="178"/>
    </row>
    <row r="123" spans="1:80" x14ac:dyDescent="0.2">
      <c r="A123" s="565"/>
      <c r="B123" s="566"/>
      <c r="C123" s="566"/>
      <c r="D123" s="566"/>
      <c r="E123" s="566"/>
      <c r="F123" s="566"/>
      <c r="G123" s="566"/>
      <c r="H123" s="566"/>
      <c r="I123" s="567"/>
      <c r="J123" s="137"/>
      <c r="K123" s="137"/>
    </row>
    <row r="124" spans="1:80" x14ac:dyDescent="0.2">
      <c r="A124" s="565"/>
      <c r="B124" s="566"/>
      <c r="C124" s="566"/>
      <c r="D124" s="566"/>
      <c r="E124" s="566"/>
      <c r="F124" s="566"/>
      <c r="G124" s="566"/>
      <c r="H124" s="566"/>
      <c r="I124" s="567"/>
      <c r="J124" s="137"/>
      <c r="K124" s="137"/>
      <c r="M124" s="179"/>
    </row>
    <row r="125" spans="1:80" x14ac:dyDescent="0.2">
      <c r="A125" s="565"/>
      <c r="B125" s="566"/>
      <c r="C125" s="566"/>
      <c r="D125" s="566"/>
      <c r="E125" s="566"/>
      <c r="F125" s="566"/>
      <c r="G125" s="566"/>
      <c r="H125" s="566"/>
      <c r="I125" s="567"/>
      <c r="J125" s="137"/>
      <c r="K125" s="137"/>
    </row>
    <row r="126" spans="1:80" x14ac:dyDescent="0.2">
      <c r="A126" s="565"/>
      <c r="B126" s="566"/>
      <c r="C126" s="700" t="s">
        <v>129</v>
      </c>
      <c r="D126" s="566"/>
      <c r="E126" s="566"/>
      <c r="F126" s="566"/>
      <c r="G126" s="566"/>
      <c r="H126" s="700" t="s">
        <v>129</v>
      </c>
      <c r="I126" s="567"/>
      <c r="J126" s="137"/>
      <c r="K126" s="137"/>
    </row>
    <row r="127" spans="1:80" x14ac:dyDescent="0.2">
      <c r="A127" s="565"/>
      <c r="B127" s="566"/>
      <c r="C127" s="701"/>
      <c r="D127" s="566"/>
      <c r="E127" s="566"/>
      <c r="F127" s="566"/>
      <c r="G127" s="566"/>
      <c r="H127" s="701"/>
      <c r="I127" s="567"/>
      <c r="J127" s="137"/>
      <c r="K127" s="137"/>
    </row>
    <row r="128" spans="1:80" x14ac:dyDescent="0.2">
      <c r="A128" s="565"/>
      <c r="B128" s="566"/>
      <c r="C128" s="566"/>
      <c r="D128" s="566"/>
      <c r="E128" s="566"/>
      <c r="F128" s="566"/>
      <c r="G128" s="566"/>
      <c r="H128" s="566"/>
      <c r="I128" s="567"/>
      <c r="J128" s="137"/>
      <c r="K128" s="137"/>
    </row>
    <row r="129" spans="1:11" x14ac:dyDescent="0.2">
      <c r="A129" s="565"/>
      <c r="B129" s="566"/>
      <c r="C129" s="566"/>
      <c r="D129" s="566"/>
      <c r="E129" s="566"/>
      <c r="F129" s="566"/>
      <c r="G129" s="566"/>
      <c r="H129" s="566"/>
      <c r="I129" s="567"/>
      <c r="J129" s="137"/>
      <c r="K129" s="137"/>
    </row>
    <row r="130" spans="1:11" x14ac:dyDescent="0.2">
      <c r="A130" s="565"/>
      <c r="B130" s="566"/>
      <c r="C130" s="566"/>
      <c r="D130" s="566"/>
      <c r="E130" s="566"/>
      <c r="F130" s="566"/>
      <c r="G130" s="566"/>
      <c r="H130" s="566"/>
      <c r="I130" s="567"/>
      <c r="J130" s="137"/>
      <c r="K130" s="137"/>
    </row>
    <row r="131" spans="1:11" x14ac:dyDescent="0.2">
      <c r="A131" s="565"/>
      <c r="B131" s="566"/>
      <c r="C131" s="566"/>
      <c r="D131" s="566"/>
      <c r="E131" s="566"/>
      <c r="F131" s="566"/>
      <c r="G131" s="566"/>
      <c r="H131" s="566"/>
      <c r="I131" s="567"/>
      <c r="J131" s="137"/>
      <c r="K131" s="137"/>
    </row>
    <row r="132" spans="1:11" x14ac:dyDescent="0.2">
      <c r="A132" s="565"/>
      <c r="B132" s="687">
        <f>I114</f>
        <v>-4782.3997866178934</v>
      </c>
      <c r="C132" s="688"/>
      <c r="D132" s="702" t="s">
        <v>130</v>
      </c>
      <c r="E132" s="688"/>
      <c r="F132" s="566"/>
      <c r="G132" s="687">
        <f>I112</f>
        <v>7450.379595946064</v>
      </c>
      <c r="H132" s="688"/>
      <c r="I132" s="567" t="s">
        <v>52</v>
      </c>
      <c r="J132" s="137"/>
      <c r="K132" s="137"/>
    </row>
    <row r="133" spans="1:11" x14ac:dyDescent="0.2">
      <c r="A133" s="568"/>
      <c r="B133" s="569"/>
      <c r="C133" s="569"/>
      <c r="D133" s="569"/>
      <c r="E133" s="569"/>
      <c r="F133" s="569"/>
      <c r="G133" s="569"/>
      <c r="H133" s="569"/>
      <c r="I133" s="570"/>
      <c r="J133" s="137"/>
      <c r="K133" s="137"/>
    </row>
    <row r="134" spans="1:11" x14ac:dyDescent="0.2">
      <c r="A134" s="108"/>
      <c r="B134" s="108"/>
      <c r="C134" s="108"/>
      <c r="D134" s="108"/>
      <c r="E134" s="108"/>
      <c r="F134" s="108"/>
      <c r="G134" s="108"/>
      <c r="H134" s="108"/>
      <c r="I134" s="108"/>
      <c r="J134" s="137"/>
      <c r="K134" s="137"/>
    </row>
    <row r="135" spans="1:11" x14ac:dyDescent="0.2">
      <c r="A135" s="560"/>
      <c r="B135" s="563"/>
      <c r="C135" s="561"/>
      <c r="D135" s="689" t="s">
        <v>67</v>
      </c>
      <c r="E135" s="689"/>
      <c r="F135" s="563"/>
      <c r="G135" s="563"/>
      <c r="H135" s="563"/>
      <c r="I135" s="564"/>
      <c r="J135" s="137"/>
      <c r="K135" s="137"/>
    </row>
    <row r="136" spans="1:11" x14ac:dyDescent="0.2">
      <c r="A136" s="571" t="s">
        <v>131</v>
      </c>
      <c r="B136" s="572"/>
      <c r="C136" s="566"/>
      <c r="D136" s="566"/>
      <c r="E136" s="566"/>
      <c r="F136" s="566"/>
      <c r="G136" s="566"/>
      <c r="H136" s="566"/>
      <c r="I136" s="567"/>
      <c r="J136" s="137"/>
      <c r="K136" s="137"/>
    </row>
    <row r="137" spans="1:11" x14ac:dyDescent="0.2">
      <c r="A137" s="565"/>
      <c r="B137" s="566"/>
      <c r="C137" s="566"/>
      <c r="D137" s="566"/>
      <c r="E137" s="566"/>
      <c r="F137" s="566"/>
      <c r="G137" s="566"/>
      <c r="H137" s="566"/>
      <c r="I137" s="567"/>
      <c r="J137" s="137"/>
      <c r="K137" s="137"/>
    </row>
    <row r="138" spans="1:11" x14ac:dyDescent="0.2">
      <c r="A138" s="565"/>
      <c r="B138" s="566"/>
      <c r="C138" s="566"/>
      <c r="D138" s="566"/>
      <c r="E138" s="566"/>
      <c r="F138" s="566"/>
      <c r="G138" s="566"/>
      <c r="H138" s="566"/>
      <c r="I138" s="567"/>
      <c r="J138" s="137"/>
      <c r="K138" s="137"/>
    </row>
    <row r="139" spans="1:11" ht="43.5" customHeight="1" x14ac:dyDescent="0.2">
      <c r="A139" s="565"/>
      <c r="B139" s="566"/>
      <c r="C139" s="566"/>
      <c r="D139" s="566"/>
      <c r="E139" s="566"/>
      <c r="F139" s="566"/>
      <c r="G139" s="566"/>
      <c r="H139" s="566"/>
      <c r="I139" s="567"/>
      <c r="J139" s="137"/>
      <c r="K139" s="137"/>
    </row>
    <row r="140" spans="1:11" x14ac:dyDescent="0.2">
      <c r="A140" s="565"/>
      <c r="B140" s="566"/>
      <c r="C140" s="566"/>
      <c r="D140" s="566"/>
      <c r="E140" s="566"/>
      <c r="F140" s="566"/>
      <c r="G140" s="566"/>
      <c r="H140" s="566"/>
      <c r="I140" s="567"/>
      <c r="J140" s="137"/>
      <c r="K140" s="137"/>
    </row>
    <row r="141" spans="1:11" x14ac:dyDescent="0.2">
      <c r="A141" s="565"/>
      <c r="B141" s="687">
        <f>B132</f>
        <v>-4782.3997866178934</v>
      </c>
      <c r="C141" s="688"/>
      <c r="D141" s="687" t="str">
        <f>D132</f>
        <v xml:space="preserve">           0 $78.82</v>
      </c>
      <c r="E141" s="688"/>
      <c r="F141" s="566"/>
      <c r="G141" s="687">
        <f>G132</f>
        <v>7450.379595946064</v>
      </c>
      <c r="H141" s="688"/>
      <c r="I141" s="567" t="s">
        <v>52</v>
      </c>
      <c r="J141" s="137"/>
      <c r="K141" s="137"/>
    </row>
    <row r="142" spans="1:11" x14ac:dyDescent="0.2">
      <c r="A142" s="568"/>
      <c r="B142" s="569"/>
      <c r="C142" s="569"/>
      <c r="D142" s="569"/>
      <c r="E142" s="569"/>
      <c r="F142" s="569"/>
      <c r="G142" s="569"/>
      <c r="H142" s="569"/>
      <c r="I142" s="570"/>
      <c r="J142" s="137"/>
      <c r="K142" s="137"/>
    </row>
    <row r="143" spans="1:11" x14ac:dyDescent="0.2">
      <c r="A143" s="180"/>
      <c r="B143" s="180"/>
      <c r="C143" s="180"/>
      <c r="D143" s="165"/>
      <c r="E143" s="180"/>
      <c r="F143" s="180"/>
      <c r="G143" s="180"/>
      <c r="H143" s="180"/>
      <c r="I143" s="180"/>
      <c r="J143" s="137"/>
      <c r="K143" s="137"/>
    </row>
    <row r="144" spans="1:11" ht="57.75" customHeight="1" x14ac:dyDescent="0.2">
      <c r="A144" s="662" t="s">
        <v>245</v>
      </c>
      <c r="B144" s="666"/>
      <c r="C144" s="666"/>
      <c r="D144" s="666"/>
      <c r="E144" s="666"/>
      <c r="F144" s="666"/>
      <c r="G144" s="666"/>
      <c r="H144" s="666"/>
      <c r="I144" s="666"/>
      <c r="J144" s="137"/>
      <c r="K144" s="137"/>
    </row>
    <row r="145" spans="1:11" x14ac:dyDescent="0.2">
      <c r="A145" s="13"/>
      <c r="B145" s="1"/>
      <c r="C145" s="1"/>
      <c r="D145" s="1"/>
      <c r="E145" s="1"/>
      <c r="F145" s="1"/>
      <c r="G145" s="1"/>
      <c r="H145" s="1"/>
      <c r="I145" s="1"/>
      <c r="J145" s="137"/>
      <c r="K145" s="137"/>
    </row>
    <row r="146" spans="1:11" ht="39" customHeight="1" x14ac:dyDescent="0.2">
      <c r="A146" s="662" t="s">
        <v>246</v>
      </c>
      <c r="B146" s="666"/>
      <c r="C146" s="666"/>
      <c r="D146" s="666"/>
      <c r="E146" s="666"/>
      <c r="F146" s="666"/>
      <c r="G146" s="666"/>
      <c r="H146" s="666"/>
      <c r="I146" s="666"/>
      <c r="J146" s="137"/>
      <c r="K146" s="137"/>
    </row>
    <row r="147" spans="1:11" x14ac:dyDescent="0.2">
      <c r="A147" s="13"/>
      <c r="B147" s="1"/>
      <c r="C147" s="1"/>
      <c r="D147" s="1"/>
      <c r="E147" s="1"/>
      <c r="F147" s="1"/>
      <c r="G147" s="1"/>
      <c r="H147" s="1"/>
      <c r="I147" s="1"/>
      <c r="J147" s="137"/>
      <c r="K147" s="137"/>
    </row>
    <row r="148" spans="1:11" ht="52.5" customHeight="1" x14ac:dyDescent="0.2">
      <c r="A148" s="662" t="s">
        <v>254</v>
      </c>
      <c r="B148" s="666"/>
      <c r="C148" s="666"/>
      <c r="D148" s="666"/>
      <c r="E148" s="666"/>
      <c r="F148" s="666"/>
      <c r="G148" s="666"/>
      <c r="H148" s="666"/>
      <c r="I148" s="666"/>
      <c r="J148" s="137"/>
      <c r="K148" s="137"/>
    </row>
    <row r="149" spans="1:11" x14ac:dyDescent="0.2">
      <c r="A149" s="13"/>
      <c r="B149" s="1"/>
      <c r="C149" s="1"/>
      <c r="D149" s="1"/>
      <c r="E149" s="1"/>
      <c r="F149" s="1"/>
      <c r="G149" s="1"/>
      <c r="H149" s="1"/>
      <c r="I149" s="1"/>
      <c r="J149" s="137"/>
      <c r="K149" s="137"/>
    </row>
    <row r="150" spans="1:11" x14ac:dyDescent="0.2">
      <c r="A150" s="2"/>
      <c r="B150" s="1"/>
      <c r="C150" s="2"/>
      <c r="D150" s="54" t="s">
        <v>249</v>
      </c>
      <c r="E150" s="581">
        <v>33.622923334855841</v>
      </c>
      <c r="F150" s="1"/>
      <c r="G150" s="1"/>
      <c r="H150" s="1"/>
      <c r="I150" s="2"/>
    </row>
    <row r="151" spans="1:11" x14ac:dyDescent="0.2">
      <c r="A151" s="13"/>
      <c r="B151" s="1"/>
      <c r="C151" s="1"/>
      <c r="D151" s="1"/>
      <c r="E151" s="1"/>
      <c r="F151" s="1"/>
      <c r="G151" s="1"/>
      <c r="H151" s="1"/>
      <c r="I151" s="1"/>
    </row>
    <row r="152" spans="1:11" x14ac:dyDescent="0.2">
      <c r="A152" s="662" t="s">
        <v>63</v>
      </c>
      <c r="B152" s="666"/>
      <c r="C152" s="666"/>
      <c r="D152" s="666"/>
      <c r="E152" s="666"/>
      <c r="F152" s="666"/>
      <c r="G152" s="666"/>
      <c r="H152" s="666"/>
      <c r="I152" s="666"/>
    </row>
    <row r="153" spans="1:11" x14ac:dyDescent="0.2">
      <c r="A153" s="13"/>
      <c r="B153" s="1"/>
      <c r="C153" s="1"/>
      <c r="D153" s="1"/>
      <c r="E153" s="1"/>
      <c r="F153" s="1"/>
      <c r="G153" s="1"/>
      <c r="H153" s="1"/>
      <c r="I153" s="1"/>
    </row>
    <row r="154" spans="1:11" ht="24.75" customHeight="1" x14ac:dyDescent="0.2">
      <c r="A154" s="13"/>
      <c r="B154" s="1"/>
      <c r="C154" s="1"/>
      <c r="D154" s="49" t="s">
        <v>75</v>
      </c>
      <c r="E154" s="582" t="s">
        <v>247</v>
      </c>
      <c r="F154" s="20"/>
      <c r="G154" s="1"/>
      <c r="H154" s="1"/>
      <c r="I154" s="1"/>
    </row>
    <row r="155" spans="1:11" x14ac:dyDescent="0.2">
      <c r="A155" s="13"/>
      <c r="B155" s="1"/>
      <c r="C155" s="51" t="s">
        <v>57</v>
      </c>
      <c r="D155" s="18">
        <v>0.25</v>
      </c>
      <c r="E155" s="583">
        <v>6638.8185642432554</v>
      </c>
      <c r="F155" s="26"/>
      <c r="G155" s="1"/>
      <c r="H155" s="1"/>
      <c r="I155" s="1"/>
    </row>
    <row r="156" spans="1:11" x14ac:dyDescent="0.2">
      <c r="A156" s="13"/>
      <c r="B156" s="1"/>
      <c r="C156" s="52" t="s">
        <v>53</v>
      </c>
      <c r="D156" s="17">
        <v>0.5</v>
      </c>
      <c r="E156" s="584">
        <v>33.62292333485766</v>
      </c>
      <c r="F156" s="26"/>
      <c r="G156" s="1"/>
      <c r="H156" s="1"/>
      <c r="I156" s="1"/>
    </row>
    <row r="157" spans="1:11" x14ac:dyDescent="0.2">
      <c r="A157" s="1"/>
      <c r="B157" s="1"/>
      <c r="C157" s="53" t="s">
        <v>74</v>
      </c>
      <c r="D157" s="19">
        <v>0.25</v>
      </c>
      <c r="E157" s="585">
        <v>-4782.3997866178934</v>
      </c>
      <c r="F157" s="26"/>
      <c r="G157" s="1"/>
      <c r="H157" s="1"/>
      <c r="I157" s="1"/>
    </row>
    <row r="158" spans="1:11" x14ac:dyDescent="0.2">
      <c r="A158" s="1"/>
      <c r="B158" s="1"/>
      <c r="C158" s="1"/>
      <c r="D158" s="1"/>
      <c r="E158" s="1"/>
      <c r="F158" s="8"/>
      <c r="G158" s="1"/>
      <c r="H158" s="1"/>
      <c r="I158" s="1"/>
    </row>
    <row r="159" spans="1:11" x14ac:dyDescent="0.2">
      <c r="A159" s="2"/>
      <c r="B159" s="1"/>
      <c r="C159" s="1"/>
      <c r="D159" s="50" t="s">
        <v>59</v>
      </c>
      <c r="E159" s="586">
        <v>480.91615607376934</v>
      </c>
      <c r="F159" s="1"/>
      <c r="G159" s="1"/>
      <c r="H159" s="1"/>
      <c r="I159" s="1"/>
    </row>
    <row r="160" spans="1:11" x14ac:dyDescent="0.2">
      <c r="A160" s="2"/>
      <c r="B160" s="1"/>
      <c r="C160" s="1"/>
      <c r="D160" s="50" t="s">
        <v>60</v>
      </c>
      <c r="E160" s="587">
        <v>4062.7084332142217</v>
      </c>
      <c r="F160" s="1"/>
      <c r="G160" s="1"/>
      <c r="H160" s="1"/>
      <c r="I160" s="1"/>
    </row>
    <row r="161" spans="1:9" x14ac:dyDescent="0.2">
      <c r="A161" s="2"/>
      <c r="B161" s="1"/>
      <c r="C161" s="1"/>
      <c r="D161" s="50" t="s">
        <v>61</v>
      </c>
      <c r="E161" s="588">
        <v>8.4478518384211423</v>
      </c>
      <c r="F161" s="1"/>
      <c r="G161" s="1"/>
      <c r="H161" s="1"/>
      <c r="I161" s="1"/>
    </row>
    <row r="162" spans="1:9" x14ac:dyDescent="0.2">
      <c r="A162" s="1"/>
      <c r="B162" s="1"/>
      <c r="C162" s="1"/>
      <c r="D162" s="1"/>
      <c r="E162" s="1"/>
      <c r="F162" s="1"/>
      <c r="G162" s="1"/>
      <c r="H162" s="1"/>
      <c r="I162" s="1"/>
    </row>
    <row r="163" spans="1:9" ht="44.25" customHeight="1" x14ac:dyDescent="0.2">
      <c r="A163" s="662" t="s">
        <v>14</v>
      </c>
      <c r="B163" s="666"/>
      <c r="C163" s="666"/>
      <c r="D163" s="666"/>
      <c r="E163" s="666"/>
      <c r="F163" s="666"/>
      <c r="G163" s="666"/>
      <c r="H163" s="666"/>
      <c r="I163" s="666"/>
    </row>
    <row r="164" spans="1:9" x14ac:dyDescent="0.2">
      <c r="A164" s="13"/>
      <c r="B164" s="1"/>
      <c r="C164" s="1"/>
      <c r="D164" s="1"/>
      <c r="E164" s="1"/>
      <c r="F164" s="1"/>
      <c r="G164" s="1"/>
      <c r="H164" s="1"/>
      <c r="I164" s="1"/>
    </row>
    <row r="165" spans="1:9" ht="32.25" customHeight="1" x14ac:dyDescent="0.2">
      <c r="A165" s="662" t="s">
        <v>16</v>
      </c>
      <c r="B165" s="666"/>
      <c r="C165" s="666"/>
      <c r="D165" s="666"/>
      <c r="E165" s="666"/>
      <c r="F165" s="666"/>
      <c r="G165" s="666"/>
      <c r="H165" s="666"/>
      <c r="I165" s="666"/>
    </row>
    <row r="166" spans="1:9" x14ac:dyDescent="0.2">
      <c r="A166" s="27"/>
      <c r="B166" s="1"/>
      <c r="C166" s="1"/>
      <c r="D166" s="1"/>
      <c r="E166" s="1"/>
      <c r="F166" s="1"/>
      <c r="G166" s="1"/>
      <c r="H166" s="1"/>
      <c r="I166" s="1"/>
    </row>
    <row r="167" spans="1:9" ht="54.75" customHeight="1" x14ac:dyDescent="0.2">
      <c r="A167" s="662" t="s">
        <v>15</v>
      </c>
      <c r="B167" s="666"/>
      <c r="C167" s="666"/>
      <c r="D167" s="666"/>
      <c r="E167" s="666"/>
      <c r="F167" s="666"/>
      <c r="G167" s="666"/>
      <c r="H167" s="666"/>
      <c r="I167" s="666"/>
    </row>
    <row r="168" spans="1:9" x14ac:dyDescent="0.2">
      <c r="A168" s="13"/>
      <c r="B168" s="1"/>
      <c r="C168" s="1"/>
      <c r="D168" s="1"/>
      <c r="E168" s="1"/>
      <c r="F168" s="1"/>
      <c r="G168" s="1"/>
      <c r="H168" s="1"/>
      <c r="I168" s="1"/>
    </row>
    <row r="169" spans="1:9" ht="93.75" customHeight="1" x14ac:dyDescent="0.2">
      <c r="A169" s="662" t="s">
        <v>248</v>
      </c>
      <c r="B169" s="666"/>
      <c r="C169" s="666"/>
      <c r="D169" s="666"/>
      <c r="E169" s="666"/>
      <c r="F169" s="666"/>
      <c r="G169" s="666"/>
      <c r="H169" s="666"/>
      <c r="I169" s="666"/>
    </row>
  </sheetData>
  <mergeCells count="44">
    <mergeCell ref="A5:I5"/>
    <mergeCell ref="A8:I8"/>
    <mergeCell ref="C87:H87"/>
    <mergeCell ref="A94:H94"/>
    <mergeCell ref="A6:I7"/>
    <mergeCell ref="A15:D15"/>
    <mergeCell ref="A16:D16"/>
    <mergeCell ref="A96:H96"/>
    <mergeCell ref="D120:E120"/>
    <mergeCell ref="C126:C127"/>
    <mergeCell ref="H126:H127"/>
    <mergeCell ref="D132:E132"/>
    <mergeCell ref="G132:H132"/>
    <mergeCell ref="D121:D122"/>
    <mergeCell ref="K9:S14"/>
    <mergeCell ref="D1:F1"/>
    <mergeCell ref="A3:I3"/>
    <mergeCell ref="L95:T95"/>
    <mergeCell ref="L108:T108"/>
    <mergeCell ref="A10:E10"/>
    <mergeCell ref="A102:E102"/>
    <mergeCell ref="M15:P15"/>
    <mergeCell ref="A30:D30"/>
    <mergeCell ref="A32:D32"/>
    <mergeCell ref="A34:D34"/>
    <mergeCell ref="A35:D35"/>
    <mergeCell ref="A98:I98"/>
    <mergeCell ref="A100:I100"/>
    <mergeCell ref="A104:I104"/>
    <mergeCell ref="A95:H95"/>
    <mergeCell ref="A165:I165"/>
    <mergeCell ref="A167:I167"/>
    <mergeCell ref="A169:I169"/>
    <mergeCell ref="A106:I106"/>
    <mergeCell ref="A144:I144"/>
    <mergeCell ref="A146:I146"/>
    <mergeCell ref="A148:I148"/>
    <mergeCell ref="A152:I152"/>
    <mergeCell ref="A163:I163"/>
    <mergeCell ref="B132:C132"/>
    <mergeCell ref="D135:E135"/>
    <mergeCell ref="B141:C141"/>
    <mergeCell ref="D141:E141"/>
    <mergeCell ref="G141:H141"/>
  </mergeCells>
  <pageMargins left="0.7" right="0.7" top="0.75" bottom="0.75" header="0.3" footer="0.3"/>
  <pageSetup scale="96" orientation="portrait" r:id="rId1"/>
  <rowBreaks count="3" manualBreakCount="3">
    <brk id="36" max="19" man="1"/>
    <brk id="92" max="16383" man="1"/>
    <brk id="117" max="16383" man="1"/>
  </rowBreaks>
  <ignoredErrors>
    <ignoredError sqref="D92" formula="1"/>
    <ignoredError sqref="C43" evalErro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8"/>
  <sheetViews>
    <sheetView zoomScaleNormal="100" zoomScaleSheetLayoutView="100" workbookViewId="0">
      <selection sqref="A1:I1"/>
    </sheetView>
  </sheetViews>
  <sheetFormatPr defaultRowHeight="12.75" x14ac:dyDescent="0.2"/>
  <cols>
    <col min="2" max="2" width="13" bestFit="1" customWidth="1"/>
    <col min="3" max="3" width="10.5703125" bestFit="1" customWidth="1"/>
    <col min="4" max="4" width="11.5703125" bestFit="1" customWidth="1"/>
    <col min="5" max="5" width="13" bestFit="1" customWidth="1"/>
    <col min="6" max="8" width="11.5703125" bestFit="1" customWidth="1"/>
    <col min="9" max="9" width="10" customWidth="1"/>
  </cols>
  <sheetData>
    <row r="1" spans="1:19" ht="34.5" customHeight="1" x14ac:dyDescent="0.2">
      <c r="A1" s="713" t="s">
        <v>283</v>
      </c>
      <c r="B1" s="714"/>
      <c r="C1" s="714"/>
      <c r="D1" s="714"/>
      <c r="E1" s="714"/>
      <c r="F1" s="714"/>
      <c r="G1" s="714"/>
      <c r="H1" s="714"/>
      <c r="I1" s="715"/>
      <c r="J1" s="625" t="s">
        <v>282</v>
      </c>
    </row>
    <row r="2" spans="1:19" ht="19.5" customHeight="1" x14ac:dyDescent="0.2">
      <c r="A2" s="243" t="s">
        <v>144</v>
      </c>
      <c r="B2" s="244"/>
      <c r="C2" s="244"/>
      <c r="D2" s="245" t="s">
        <v>145</v>
      </c>
      <c r="E2" s="246">
        <v>0.12</v>
      </c>
      <c r="F2" s="244"/>
      <c r="G2" s="244"/>
      <c r="H2" s="244"/>
      <c r="I2" s="247"/>
    </row>
    <row r="3" spans="1:19" x14ac:dyDescent="0.2">
      <c r="A3" s="615" t="s">
        <v>275</v>
      </c>
      <c r="B3" s="248"/>
      <c r="C3" s="248"/>
      <c r="D3" s="248"/>
      <c r="E3" s="248"/>
      <c r="F3" s="248"/>
      <c r="G3" s="248"/>
      <c r="H3" s="248"/>
      <c r="I3" s="249"/>
    </row>
    <row r="4" spans="1:19" x14ac:dyDescent="0.2">
      <c r="A4" s="250" t="s">
        <v>50</v>
      </c>
      <c r="B4" s="252">
        <v>0</v>
      </c>
      <c r="C4" s="252">
        <v>1</v>
      </c>
      <c r="D4" s="252">
        <v>2</v>
      </c>
      <c r="E4" s="252">
        <v>3</v>
      </c>
      <c r="F4" s="252">
        <v>4</v>
      </c>
      <c r="G4" s="252">
        <v>5</v>
      </c>
      <c r="H4" s="251" t="s">
        <v>148</v>
      </c>
      <c r="I4" s="249"/>
    </row>
    <row r="5" spans="1:19" x14ac:dyDescent="0.2">
      <c r="A5" s="253" t="s">
        <v>149</v>
      </c>
      <c r="B5" s="254">
        <v>-40000</v>
      </c>
      <c r="C5" s="254">
        <v>8000</v>
      </c>
      <c r="D5" s="254">
        <v>14000</v>
      </c>
      <c r="E5" s="254">
        <v>13000</v>
      </c>
      <c r="F5" s="254">
        <v>12000</v>
      </c>
      <c r="G5" s="254">
        <v>11000</v>
      </c>
      <c r="H5" s="254">
        <v>10000</v>
      </c>
      <c r="I5" s="249"/>
    </row>
    <row r="6" spans="1:19" ht="14.25" x14ac:dyDescent="0.25">
      <c r="A6" s="255" t="s">
        <v>150</v>
      </c>
      <c r="B6" s="256">
        <v>6490.9382156815409</v>
      </c>
      <c r="C6" s="257" t="s">
        <v>151</v>
      </c>
      <c r="D6" s="258">
        <f>IRR(B5:H5)</f>
        <v>0.17470812071516617</v>
      </c>
      <c r="E6" s="259"/>
      <c r="F6" s="260"/>
      <c r="G6" s="260"/>
      <c r="H6" s="261"/>
      <c r="I6" s="249"/>
    </row>
    <row r="7" spans="1:19" x14ac:dyDescent="0.2">
      <c r="A7" s="262"/>
      <c r="B7" s="259"/>
      <c r="C7" s="263"/>
      <c r="D7" s="263"/>
      <c r="E7" s="263"/>
      <c r="F7" s="264"/>
      <c r="G7" s="264"/>
      <c r="H7" s="261"/>
      <c r="I7" s="249"/>
    </row>
    <row r="8" spans="1:19" x14ac:dyDescent="0.2">
      <c r="A8" s="616" t="s">
        <v>276</v>
      </c>
      <c r="B8" s="248"/>
      <c r="C8" s="248"/>
      <c r="D8" s="248"/>
      <c r="E8" s="248"/>
      <c r="F8" s="261"/>
      <c r="G8" s="261"/>
      <c r="H8" s="261"/>
      <c r="I8" s="249"/>
    </row>
    <row r="9" spans="1:19" x14ac:dyDescent="0.2">
      <c r="A9" s="250" t="s">
        <v>50</v>
      </c>
      <c r="B9" s="252">
        <v>0</v>
      </c>
      <c r="C9" s="252">
        <v>1</v>
      </c>
      <c r="D9" s="252">
        <v>2</v>
      </c>
      <c r="E9" s="252">
        <v>3</v>
      </c>
      <c r="F9" s="261"/>
      <c r="G9" s="261"/>
      <c r="H9" s="261"/>
      <c r="I9" s="249"/>
    </row>
    <row r="10" spans="1:19" ht="19.5" customHeight="1" x14ac:dyDescent="0.2">
      <c r="A10" s="253" t="s">
        <v>149</v>
      </c>
      <c r="B10" s="254">
        <v>-20000</v>
      </c>
      <c r="C10" s="254">
        <v>7000</v>
      </c>
      <c r="D10" s="254">
        <v>13000</v>
      </c>
      <c r="E10" s="254">
        <v>12000</v>
      </c>
      <c r="F10" s="261"/>
      <c r="G10" s="261"/>
      <c r="H10" s="612"/>
      <c r="I10" s="249"/>
    </row>
    <row r="11" spans="1:19" ht="25.5" customHeight="1" x14ac:dyDescent="0.2">
      <c r="A11" s="265" t="s">
        <v>153</v>
      </c>
      <c r="B11" s="266">
        <v>5154.8833819241918</v>
      </c>
      <c r="C11" s="267" t="s">
        <v>154</v>
      </c>
      <c r="D11" s="268">
        <f>IRR(B10:E10)</f>
        <v>0.25197210090476752</v>
      </c>
      <c r="E11" s="613"/>
      <c r="F11" s="613"/>
      <c r="G11" s="613"/>
      <c r="H11" s="613"/>
      <c r="I11" s="614"/>
      <c r="J11" s="723" t="s">
        <v>155</v>
      </c>
      <c r="K11" s="724"/>
      <c r="L11" s="724"/>
      <c r="M11" s="724"/>
      <c r="N11" s="724"/>
      <c r="O11" s="724"/>
      <c r="P11" s="724"/>
      <c r="Q11" s="724"/>
      <c r="R11" s="724"/>
      <c r="S11" s="724"/>
    </row>
    <row r="12" spans="1:19" ht="14.25" customHeight="1" x14ac:dyDescent="0.2">
      <c r="A12" s="717"/>
      <c r="B12" s="718"/>
      <c r="C12" s="718"/>
      <c r="D12" s="718"/>
      <c r="E12" s="718"/>
      <c r="F12" s="718"/>
      <c r="G12" s="718"/>
      <c r="H12" s="718"/>
      <c r="I12" s="719"/>
      <c r="J12" s="725"/>
      <c r="K12" s="724"/>
      <c r="L12" s="724"/>
      <c r="M12" s="724"/>
      <c r="N12" s="724"/>
      <c r="O12" s="724"/>
      <c r="P12" s="724"/>
      <c r="Q12" s="724"/>
      <c r="R12" s="724"/>
      <c r="S12" s="724"/>
    </row>
    <row r="13" spans="1:19" ht="17.25" customHeight="1" x14ac:dyDescent="0.2">
      <c r="A13" s="269" t="s">
        <v>156</v>
      </c>
      <c r="B13" s="270"/>
      <c r="C13" s="270"/>
      <c r="D13" s="270"/>
      <c r="E13" s="271" t="s">
        <v>145</v>
      </c>
      <c r="F13" s="272">
        <v>0.12</v>
      </c>
      <c r="G13" s="270"/>
      <c r="H13" s="270"/>
      <c r="I13" s="273"/>
    </row>
    <row r="14" spans="1:19" ht="13.5" customHeight="1" x14ac:dyDescent="0.2">
      <c r="A14" s="617" t="s">
        <v>277</v>
      </c>
      <c r="B14" s="274"/>
      <c r="C14" s="274"/>
      <c r="D14" s="274"/>
      <c r="E14" s="274"/>
      <c r="F14" s="274"/>
      <c r="G14" s="274"/>
      <c r="H14" s="274"/>
      <c r="I14" s="275"/>
    </row>
    <row r="15" spans="1:19" ht="21" customHeight="1" x14ac:dyDescent="0.2">
      <c r="A15" s="276" t="s">
        <v>50</v>
      </c>
      <c r="B15" s="277" t="s">
        <v>147</v>
      </c>
      <c r="C15" s="278">
        <v>1</v>
      </c>
      <c r="D15" s="278">
        <v>2</v>
      </c>
      <c r="E15" s="278">
        <v>3</v>
      </c>
      <c r="F15" s="278">
        <v>4</v>
      </c>
      <c r="G15" s="278">
        <v>5</v>
      </c>
      <c r="H15" s="277" t="s">
        <v>148</v>
      </c>
      <c r="I15" s="275"/>
    </row>
    <row r="16" spans="1:19" x14ac:dyDescent="0.2">
      <c r="A16" s="279" t="s">
        <v>149</v>
      </c>
      <c r="B16" s="280">
        <v>-40000</v>
      </c>
      <c r="C16" s="280">
        <v>8000</v>
      </c>
      <c r="D16" s="280">
        <v>14000</v>
      </c>
      <c r="E16" s="280">
        <v>13000</v>
      </c>
      <c r="F16" s="280">
        <v>12000</v>
      </c>
      <c r="G16" s="280">
        <v>11000</v>
      </c>
      <c r="H16" s="280">
        <v>10000</v>
      </c>
      <c r="I16" s="275"/>
    </row>
    <row r="17" spans="1:19" ht="14.25" customHeight="1" x14ac:dyDescent="0.25">
      <c r="A17" s="281" t="s">
        <v>150</v>
      </c>
      <c r="B17" s="282">
        <v>6490.9382156815409</v>
      </c>
      <c r="C17" s="283"/>
      <c r="D17" s="284"/>
      <c r="E17" s="284"/>
      <c r="F17" s="285"/>
      <c r="G17" s="285"/>
      <c r="H17" s="286"/>
      <c r="I17" s="275"/>
    </row>
    <row r="18" spans="1:19" ht="13.5" customHeight="1" x14ac:dyDescent="0.25">
      <c r="A18" s="287" t="s">
        <v>157</v>
      </c>
      <c r="B18" s="288">
        <f>IRR(B16:H16)</f>
        <v>0.17470812071516617</v>
      </c>
      <c r="C18" s="286"/>
      <c r="D18" s="286"/>
      <c r="E18" s="289"/>
      <c r="F18" s="290"/>
      <c r="G18" s="286"/>
      <c r="H18" s="286"/>
      <c r="I18" s="275"/>
    </row>
    <row r="19" spans="1:19" ht="13.5" customHeight="1" x14ac:dyDescent="0.2">
      <c r="A19" s="291"/>
      <c r="B19" s="284"/>
      <c r="C19" s="292"/>
      <c r="D19" s="292"/>
      <c r="E19" s="292"/>
      <c r="F19" s="293"/>
      <c r="G19" s="293"/>
      <c r="H19" s="294"/>
      <c r="I19" s="275"/>
    </row>
    <row r="20" spans="1:19" ht="14.25" customHeight="1" x14ac:dyDescent="0.2">
      <c r="A20" s="295" t="s">
        <v>158</v>
      </c>
      <c r="B20" s="274"/>
      <c r="C20" s="274"/>
      <c r="D20" s="296"/>
      <c r="E20" s="274"/>
      <c r="F20" s="274"/>
      <c r="G20" s="274"/>
      <c r="H20" s="294"/>
      <c r="I20" s="275"/>
    </row>
    <row r="21" spans="1:19" ht="16.5" customHeight="1" x14ac:dyDescent="0.2">
      <c r="A21" s="291"/>
      <c r="B21" s="274"/>
      <c r="C21" s="274"/>
      <c r="D21" s="274"/>
      <c r="E21" s="274"/>
      <c r="F21" s="274"/>
      <c r="G21" s="274"/>
      <c r="H21" s="274"/>
      <c r="I21" s="275"/>
    </row>
    <row r="22" spans="1:19" ht="12.75" customHeight="1" x14ac:dyDescent="0.2">
      <c r="A22" s="291"/>
      <c r="B22" s="297">
        <v>0</v>
      </c>
      <c r="C22" s="297">
        <v>1</v>
      </c>
      <c r="D22" s="297">
        <v>2</v>
      </c>
      <c r="E22" s="297">
        <v>3</v>
      </c>
      <c r="F22" s="297">
        <v>4</v>
      </c>
      <c r="G22" s="297">
        <v>5</v>
      </c>
      <c r="H22" s="297">
        <v>6</v>
      </c>
      <c r="I22" s="275"/>
    </row>
    <row r="23" spans="1:19" ht="14.25" customHeight="1" x14ac:dyDescent="0.2">
      <c r="A23" s="291"/>
      <c r="B23" s="298">
        <v>-20000</v>
      </c>
      <c r="C23" s="298">
        <v>7000</v>
      </c>
      <c r="D23" s="298">
        <v>13000</v>
      </c>
      <c r="E23" s="298">
        <v>12000</v>
      </c>
      <c r="F23" s="299"/>
      <c r="G23" s="299"/>
      <c r="H23" s="299"/>
      <c r="I23" s="275"/>
    </row>
    <row r="24" spans="1:19" ht="12.75" customHeight="1" x14ac:dyDescent="0.2">
      <c r="A24" s="291"/>
      <c r="B24" s="300"/>
      <c r="C24" s="300"/>
      <c r="D24" s="300"/>
      <c r="E24" s="301">
        <v>-20000</v>
      </c>
      <c r="F24" s="301">
        <v>7000</v>
      </c>
      <c r="G24" s="301">
        <v>13000</v>
      </c>
      <c r="H24" s="301">
        <v>12000</v>
      </c>
      <c r="I24" s="275"/>
    </row>
    <row r="25" spans="1:19" ht="14.25" customHeight="1" x14ac:dyDescent="0.2">
      <c r="A25" s="302" t="s">
        <v>149</v>
      </c>
      <c r="B25" s="298">
        <v>-20000</v>
      </c>
      <c r="C25" s="298">
        <v>7000</v>
      </c>
      <c r="D25" s="298">
        <v>13000</v>
      </c>
      <c r="E25" s="298">
        <v>-8000</v>
      </c>
      <c r="F25" s="298">
        <v>7000</v>
      </c>
      <c r="G25" s="298">
        <v>13000</v>
      </c>
      <c r="H25" s="298">
        <v>12000</v>
      </c>
      <c r="I25" s="275"/>
    </row>
    <row r="26" spans="1:19" ht="14.25" x14ac:dyDescent="0.25">
      <c r="A26" s="303" t="s">
        <v>153</v>
      </c>
      <c r="B26" s="304">
        <f>NPV(F13,C25:H25)+B25</f>
        <v>8824.0275529594255</v>
      </c>
      <c r="C26" s="305"/>
      <c r="D26" s="306" t="s">
        <v>159</v>
      </c>
      <c r="E26" s="620">
        <f>IRR(B25:H25)</f>
        <v>0.25197210090478905</v>
      </c>
      <c r="F26" s="305"/>
      <c r="G26" s="307"/>
      <c r="H26" s="308"/>
      <c r="I26" s="309"/>
    </row>
    <row r="27" spans="1:19" ht="15.75" customHeight="1" x14ac:dyDescent="0.2">
      <c r="A27" s="619"/>
      <c r="B27" s="619"/>
      <c r="C27" s="619"/>
      <c r="D27" s="619"/>
      <c r="E27" s="619"/>
      <c r="F27" s="619"/>
      <c r="G27" s="619"/>
      <c r="H27" s="619"/>
      <c r="I27" s="621"/>
      <c r="J27" s="726" t="s">
        <v>160</v>
      </c>
      <c r="K27" s="727"/>
      <c r="L27" s="727"/>
      <c r="M27" s="727"/>
      <c r="N27" s="727"/>
      <c r="O27" s="727"/>
      <c r="P27" s="727"/>
      <c r="Q27" s="727"/>
      <c r="R27" s="727"/>
      <c r="S27" s="727"/>
    </row>
    <row r="28" spans="1:19" ht="16.5" customHeight="1" x14ac:dyDescent="0.25">
      <c r="A28" s="310" t="s">
        <v>161</v>
      </c>
      <c r="B28" s="311"/>
      <c r="C28" s="311"/>
      <c r="D28" s="311"/>
      <c r="E28" s="311"/>
      <c r="F28" s="311"/>
      <c r="G28" s="618"/>
      <c r="H28" s="311"/>
      <c r="I28" s="312"/>
      <c r="J28" s="726"/>
      <c r="K28" s="727"/>
      <c r="L28" s="727"/>
      <c r="M28" s="727"/>
      <c r="N28" s="727"/>
      <c r="O28" s="727"/>
      <c r="P28" s="727"/>
      <c r="Q28" s="727"/>
      <c r="R28" s="727"/>
      <c r="S28" s="727"/>
    </row>
    <row r="29" spans="1:19" ht="13.5" customHeight="1" x14ac:dyDescent="0.2">
      <c r="A29" s="313" t="s">
        <v>162</v>
      </c>
      <c r="B29" s="311"/>
      <c r="C29" s="311"/>
      <c r="D29" s="311"/>
      <c r="E29" s="311"/>
      <c r="F29" s="311"/>
      <c r="G29" s="311"/>
      <c r="H29" s="311"/>
      <c r="I29" s="312"/>
      <c r="J29" s="726"/>
      <c r="K29" s="727"/>
      <c r="L29" s="727"/>
      <c r="M29" s="727"/>
      <c r="N29" s="727"/>
      <c r="O29" s="727"/>
      <c r="P29" s="727"/>
      <c r="Q29" s="727"/>
      <c r="R29" s="727"/>
      <c r="S29" s="727"/>
    </row>
    <row r="30" spans="1:19" ht="43.5" customHeight="1" x14ac:dyDescent="0.2">
      <c r="A30" s="720" t="s">
        <v>278</v>
      </c>
      <c r="B30" s="721"/>
      <c r="C30" s="721"/>
      <c r="D30" s="721"/>
      <c r="E30" s="721"/>
      <c r="F30" s="721"/>
      <c r="G30" s="721"/>
      <c r="H30" s="721"/>
      <c r="I30" s="722"/>
      <c r="J30" s="726"/>
      <c r="K30" s="727"/>
      <c r="L30" s="727"/>
      <c r="M30" s="727"/>
      <c r="N30" s="727"/>
      <c r="O30" s="727"/>
      <c r="P30" s="727"/>
      <c r="Q30" s="727"/>
      <c r="R30" s="727"/>
      <c r="S30" s="727"/>
    </row>
    <row r="31" spans="1:19" ht="18" customHeight="1" thickBot="1" x14ac:dyDescent="0.25">
      <c r="A31" s="314"/>
      <c r="B31" s="315"/>
      <c r="C31" s="315"/>
      <c r="D31" s="716" t="s">
        <v>281</v>
      </c>
      <c r="E31" s="716"/>
      <c r="F31" s="716"/>
      <c r="G31" s="311"/>
      <c r="H31" s="311"/>
      <c r="I31" s="312"/>
    </row>
    <row r="32" spans="1:19" x14ac:dyDescent="0.2">
      <c r="A32" s="314"/>
      <c r="B32" s="315"/>
      <c r="C32" s="316"/>
      <c r="D32" s="317" t="s">
        <v>146</v>
      </c>
      <c r="E32" s="318"/>
      <c r="F32" s="317" t="s">
        <v>152</v>
      </c>
      <c r="G32" s="311"/>
      <c r="H32" s="311"/>
      <c r="I32" s="312"/>
    </row>
    <row r="33" spans="1:9" x14ac:dyDescent="0.2">
      <c r="A33" s="314"/>
      <c r="B33" s="319" t="s">
        <v>163</v>
      </c>
      <c r="C33" s="318"/>
      <c r="D33" s="624">
        <v>6490.9382156815409</v>
      </c>
      <c r="E33" s="318"/>
      <c r="F33" s="624">
        <v>5154.8833819241918</v>
      </c>
      <c r="G33" s="311"/>
      <c r="H33" s="311"/>
      <c r="I33" s="312"/>
    </row>
    <row r="34" spans="1:9" ht="15" customHeight="1" x14ac:dyDescent="0.2">
      <c r="A34" s="314"/>
      <c r="B34" s="319" t="s">
        <v>164</v>
      </c>
      <c r="C34" s="318"/>
      <c r="D34" s="623">
        <v>6</v>
      </c>
      <c r="E34" s="318"/>
      <c r="F34" s="311">
        <v>3</v>
      </c>
      <c r="G34" s="311"/>
      <c r="H34" s="618"/>
      <c r="I34" s="312"/>
    </row>
    <row r="35" spans="1:9" ht="14.25" customHeight="1" x14ac:dyDescent="0.2">
      <c r="A35" s="314"/>
      <c r="B35" s="319" t="s">
        <v>279</v>
      </c>
      <c r="C35" s="318"/>
      <c r="D35" s="320">
        <v>0.12</v>
      </c>
      <c r="E35" s="318"/>
      <c r="F35" s="320">
        <v>0.12</v>
      </c>
      <c r="G35" s="315"/>
      <c r="H35" s="315"/>
      <c r="I35" s="321"/>
    </row>
    <row r="36" spans="1:9" ht="14.25" customHeight="1" x14ac:dyDescent="0.2">
      <c r="A36" s="314"/>
      <c r="B36" s="319" t="s">
        <v>280</v>
      </c>
      <c r="C36" s="318"/>
      <c r="D36" s="623">
        <v>0</v>
      </c>
      <c r="E36" s="318"/>
      <c r="F36" s="623">
        <v>0</v>
      </c>
      <c r="G36" s="315"/>
      <c r="H36" s="315"/>
      <c r="I36" s="321"/>
    </row>
    <row r="37" spans="1:9" ht="17.25" customHeight="1" x14ac:dyDescent="0.2">
      <c r="A37" s="314"/>
      <c r="B37" s="322" t="s">
        <v>165</v>
      </c>
      <c r="C37" s="315"/>
      <c r="D37" s="323">
        <v>1578.7631107590232</v>
      </c>
      <c r="E37" s="315"/>
      <c r="F37" s="323">
        <v>2146.2304409672788</v>
      </c>
      <c r="G37" s="315"/>
      <c r="H37" s="315"/>
      <c r="I37" s="321"/>
    </row>
    <row r="38" spans="1:9" ht="21" customHeight="1" x14ac:dyDescent="0.2">
      <c r="A38" s="324"/>
      <c r="B38" s="622"/>
      <c r="C38" s="622"/>
      <c r="D38" s="622"/>
      <c r="E38" s="622"/>
      <c r="F38" s="622"/>
      <c r="G38" s="325"/>
      <c r="H38" s="325"/>
      <c r="I38" s="326"/>
    </row>
  </sheetData>
  <mergeCells count="6">
    <mergeCell ref="A1:I1"/>
    <mergeCell ref="D31:F31"/>
    <mergeCell ref="A12:I12"/>
    <mergeCell ref="A30:I30"/>
    <mergeCell ref="J11:S12"/>
    <mergeCell ref="J27:S30"/>
  </mergeCells>
  <printOptions headings="1"/>
  <pageMargins left="0.7" right="0.7" top="0.75" bottom="0.75" header="0.3" footer="0.3"/>
  <pageSetup scale="87" orientation="portrait" horizontalDpi="1200" verticalDpi="1200" r:id="rId1"/>
  <colBreaks count="1" manualBreakCount="1">
    <brk id="9" max="1048575" man="1"/>
  </colBreaks>
  <ignoredErrors>
    <ignoredError sqref="H4 B15 H15"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6"/>
  <sheetViews>
    <sheetView workbookViewId="0"/>
  </sheetViews>
  <sheetFormatPr defaultRowHeight="12.75" x14ac:dyDescent="0.2"/>
  <cols>
    <col min="1" max="1" width="12.140625" customWidth="1"/>
    <col min="2" max="2" width="9.7109375" bestFit="1" customWidth="1"/>
    <col min="3" max="3" width="10.5703125" bestFit="1" customWidth="1"/>
    <col min="4" max="4" width="10" bestFit="1" customWidth="1"/>
    <col min="5" max="5" width="9.28515625" bestFit="1" customWidth="1"/>
  </cols>
  <sheetData>
    <row r="1" spans="1:9" ht="16.5" x14ac:dyDescent="0.25">
      <c r="A1" s="594" t="s">
        <v>255</v>
      </c>
      <c r="H1" s="626">
        <f>'12 Chapter model'!I1</f>
        <v>43139</v>
      </c>
    </row>
    <row r="2" spans="1:9" x14ac:dyDescent="0.2">
      <c r="A2" s="68" t="s">
        <v>256</v>
      </c>
    </row>
    <row r="4" spans="1:9" x14ac:dyDescent="0.2">
      <c r="A4" s="728" t="s">
        <v>257</v>
      </c>
      <c r="B4" s="728"/>
      <c r="C4" s="728"/>
      <c r="D4" s="728"/>
      <c r="E4" s="728"/>
      <c r="F4" s="728"/>
      <c r="G4" s="728"/>
      <c r="H4" s="728"/>
      <c r="I4" s="728"/>
    </row>
    <row r="6" spans="1:9" x14ac:dyDescent="0.2">
      <c r="A6" s="22" t="s">
        <v>258</v>
      </c>
    </row>
    <row r="8" spans="1:9" x14ac:dyDescent="0.2">
      <c r="A8" s="22" t="s">
        <v>259</v>
      </c>
      <c r="B8" s="595">
        <v>0.1</v>
      </c>
      <c r="C8" s="22"/>
      <c r="D8" s="22"/>
      <c r="E8" s="22"/>
    </row>
    <row r="9" spans="1:9" x14ac:dyDescent="0.2">
      <c r="A9" s="22"/>
      <c r="B9" s="101"/>
      <c r="C9" s="22"/>
      <c r="D9" s="22"/>
      <c r="E9" s="22"/>
    </row>
    <row r="10" spans="1:9" x14ac:dyDescent="0.2">
      <c r="A10" s="74" t="s">
        <v>260</v>
      </c>
      <c r="B10" s="577">
        <v>0</v>
      </c>
      <c r="C10" s="577">
        <v>1</v>
      </c>
      <c r="D10" s="577">
        <v>2</v>
      </c>
      <c r="E10" s="577">
        <v>3</v>
      </c>
      <c r="F10" s="577">
        <v>4</v>
      </c>
    </row>
    <row r="11" spans="1:9" x14ac:dyDescent="0.2">
      <c r="A11" s="22"/>
      <c r="B11" s="596">
        <v>-2000</v>
      </c>
      <c r="C11" s="596">
        <v>1500</v>
      </c>
      <c r="D11" s="596">
        <v>1500</v>
      </c>
      <c r="E11" s="596">
        <v>1500</v>
      </c>
      <c r="F11" s="596">
        <v>1500</v>
      </c>
    </row>
    <row r="12" spans="1:9" ht="13.5" thickBot="1" x14ac:dyDescent="0.25"/>
    <row r="13" spans="1:9" ht="15" thickBot="1" x14ac:dyDescent="0.3">
      <c r="A13" s="597" t="s">
        <v>261</v>
      </c>
      <c r="B13" s="598">
        <f>NPV($B$8,C11:F11)+B11</f>
        <v>2754.7981695239378</v>
      </c>
    </row>
    <row r="15" spans="1:9" x14ac:dyDescent="0.2">
      <c r="A15" s="74" t="s">
        <v>262</v>
      </c>
      <c r="B15" s="577">
        <v>0</v>
      </c>
      <c r="C15" s="577">
        <v>1</v>
      </c>
      <c r="D15" s="577">
        <v>2</v>
      </c>
      <c r="E15" s="599"/>
      <c r="F15" s="599"/>
    </row>
    <row r="16" spans="1:9" x14ac:dyDescent="0.2">
      <c r="A16" s="22"/>
      <c r="B16" s="596">
        <v>-1500</v>
      </c>
      <c r="C16" s="596">
        <v>1750</v>
      </c>
      <c r="D16" s="596">
        <v>1750</v>
      </c>
      <c r="E16" s="600"/>
      <c r="F16" s="600"/>
    </row>
    <row r="17" spans="1:11" x14ac:dyDescent="0.2">
      <c r="A17" s="601"/>
      <c r="B17" s="22"/>
      <c r="C17" s="22"/>
      <c r="D17" s="22"/>
      <c r="E17" s="22"/>
      <c r="F17" s="22"/>
      <c r="G17" s="22"/>
      <c r="J17" s="22"/>
      <c r="K17" s="22"/>
    </row>
    <row r="18" spans="1:11" ht="14.25" x14ac:dyDescent="0.25">
      <c r="A18" s="602" t="s">
        <v>263</v>
      </c>
      <c r="B18" s="603">
        <f>NPV($B$8,C16:D16)+B16</f>
        <v>1537.1900826446281</v>
      </c>
      <c r="F18" s="22"/>
      <c r="G18" s="22"/>
      <c r="J18" s="22"/>
      <c r="K18" s="22"/>
    </row>
    <row r="19" spans="1:11" x14ac:dyDescent="0.2">
      <c r="F19" s="22"/>
      <c r="G19" s="22"/>
      <c r="J19" s="22"/>
      <c r="K19" s="22"/>
    </row>
    <row r="20" spans="1:11" x14ac:dyDescent="0.2">
      <c r="A20" s="22" t="s">
        <v>264</v>
      </c>
      <c r="F20" s="22"/>
      <c r="G20" s="22"/>
      <c r="J20" s="22"/>
      <c r="K20" s="22"/>
    </row>
    <row r="21" spans="1:11" x14ac:dyDescent="0.2">
      <c r="F21" s="22"/>
      <c r="G21" s="22"/>
      <c r="J21" s="22"/>
      <c r="K21" s="22"/>
    </row>
    <row r="22" spans="1:11" x14ac:dyDescent="0.2">
      <c r="A22" s="22" t="s">
        <v>259</v>
      </c>
      <c r="B22" s="595">
        <v>0.1</v>
      </c>
      <c r="C22" s="22"/>
      <c r="D22" s="22"/>
      <c r="E22" s="22"/>
    </row>
    <row r="23" spans="1:11" x14ac:dyDescent="0.2">
      <c r="A23" s="22"/>
      <c r="B23" s="101"/>
      <c r="C23" s="22"/>
      <c r="D23" s="22"/>
      <c r="E23" s="22"/>
    </row>
    <row r="24" spans="1:11" x14ac:dyDescent="0.2">
      <c r="A24" s="74" t="s">
        <v>260</v>
      </c>
      <c r="B24" s="577">
        <v>0</v>
      </c>
      <c r="C24" s="577">
        <v>1</v>
      </c>
      <c r="D24" s="577">
        <v>2</v>
      </c>
      <c r="E24" s="577">
        <v>3</v>
      </c>
      <c r="F24" s="577">
        <v>4</v>
      </c>
    </row>
    <row r="25" spans="1:11" x14ac:dyDescent="0.2">
      <c r="A25" s="22"/>
      <c r="B25" s="596">
        <v>-2000</v>
      </c>
      <c r="C25" s="596">
        <v>1500</v>
      </c>
      <c r="D25" s="596">
        <v>1500</v>
      </c>
      <c r="E25" s="596">
        <v>1500</v>
      </c>
      <c r="F25" s="596">
        <v>1500</v>
      </c>
    </row>
    <row r="27" spans="1:11" ht="14.25" x14ac:dyDescent="0.25">
      <c r="A27" s="602" t="s">
        <v>261</v>
      </c>
      <c r="B27" s="603">
        <f>NPV($B$22,C25:F25)+B25</f>
        <v>2754.7981695239378</v>
      </c>
    </row>
    <row r="29" spans="1:11" x14ac:dyDescent="0.2">
      <c r="A29" s="74" t="s">
        <v>262</v>
      </c>
      <c r="B29" s="577">
        <v>0</v>
      </c>
      <c r="C29" s="577">
        <v>1</v>
      </c>
      <c r="D29" s="577">
        <v>2</v>
      </c>
      <c r="E29" s="577">
        <v>3</v>
      </c>
      <c r="F29" s="577">
        <v>4</v>
      </c>
    </row>
    <row r="30" spans="1:11" x14ac:dyDescent="0.2">
      <c r="A30" s="22"/>
      <c r="B30" s="596">
        <v>-1500</v>
      </c>
      <c r="C30" s="596">
        <v>1750</v>
      </c>
      <c r="D30" s="596">
        <v>1750</v>
      </c>
      <c r="E30" s="600"/>
      <c r="F30" s="600"/>
    </row>
    <row r="31" spans="1:11" x14ac:dyDescent="0.2">
      <c r="A31" s="22"/>
      <c r="B31" s="604"/>
      <c r="C31" s="604"/>
      <c r="D31" s="605">
        <f>B30</f>
        <v>-1500</v>
      </c>
      <c r="E31" s="605">
        <f>C30</f>
        <v>1750</v>
      </c>
      <c r="F31" s="605">
        <f>D30</f>
        <v>1750</v>
      </c>
    </row>
    <row r="32" spans="1:11" x14ac:dyDescent="0.2">
      <c r="A32" s="22" t="s">
        <v>265</v>
      </c>
      <c r="B32" s="23">
        <f>B30+B31</f>
        <v>-1500</v>
      </c>
      <c r="C32" s="23">
        <f t="shared" ref="C32:F32" si="0">C30+C31</f>
        <v>1750</v>
      </c>
      <c r="D32" s="23">
        <f t="shared" si="0"/>
        <v>250</v>
      </c>
      <c r="E32" s="23">
        <f t="shared" si="0"/>
        <v>1750</v>
      </c>
      <c r="F32" s="23">
        <f t="shared" si="0"/>
        <v>1750</v>
      </c>
    </row>
    <row r="33" spans="1:9" ht="13.5" thickBot="1" x14ac:dyDescent="0.25">
      <c r="A33" s="22"/>
      <c r="B33" s="23"/>
      <c r="C33" s="23"/>
      <c r="D33" s="23"/>
      <c r="E33" s="600"/>
      <c r="F33" s="600"/>
    </row>
    <row r="34" spans="1:9" ht="15" thickBot="1" x14ac:dyDescent="0.3">
      <c r="A34" s="597" t="s">
        <v>263</v>
      </c>
      <c r="B34" s="598">
        <f>NPV($B$22,C32:F32)+B32</f>
        <v>2807.5951096236586</v>
      </c>
      <c r="F34" s="22"/>
    </row>
    <row r="36" spans="1:9" x14ac:dyDescent="0.2">
      <c r="A36" s="22" t="s">
        <v>266</v>
      </c>
      <c r="F36" s="22"/>
      <c r="G36" s="22"/>
    </row>
    <row r="38" spans="1:9" x14ac:dyDescent="0.2">
      <c r="A38" s="729" t="s">
        <v>267</v>
      </c>
      <c r="B38" s="729"/>
      <c r="C38" s="729"/>
      <c r="D38" s="729"/>
      <c r="E38" s="729"/>
      <c r="F38" s="729"/>
      <c r="G38" s="729"/>
      <c r="H38" s="729"/>
      <c r="I38" s="729"/>
    </row>
    <row r="39" spans="1:9" x14ac:dyDescent="0.2">
      <c r="A39" s="606"/>
      <c r="B39" s="606"/>
      <c r="C39" s="606"/>
      <c r="D39" s="606"/>
      <c r="E39" s="606"/>
      <c r="F39" s="606"/>
      <c r="G39" s="606"/>
      <c r="H39" s="606"/>
      <c r="I39" s="606"/>
    </row>
    <row r="40" spans="1:9" ht="13.5" thickBot="1" x14ac:dyDescent="0.25">
      <c r="B40" s="607" t="s">
        <v>268</v>
      </c>
      <c r="D40" s="607" t="s">
        <v>269</v>
      </c>
    </row>
    <row r="41" spans="1:9" x14ac:dyDescent="0.2">
      <c r="A41" s="65" t="s">
        <v>270</v>
      </c>
      <c r="B41">
        <f>F10</f>
        <v>4</v>
      </c>
      <c r="D41">
        <f>D15</f>
        <v>2</v>
      </c>
    </row>
    <row r="42" spans="1:9" x14ac:dyDescent="0.2">
      <c r="A42" s="65" t="s">
        <v>271</v>
      </c>
      <c r="B42" s="442">
        <f>B8</f>
        <v>0.1</v>
      </c>
      <c r="D42" s="442">
        <f>B8</f>
        <v>0.1</v>
      </c>
    </row>
    <row r="43" spans="1:9" x14ac:dyDescent="0.2">
      <c r="A43" s="65" t="s">
        <v>272</v>
      </c>
      <c r="B43" s="608">
        <f>B13</f>
        <v>2754.7981695239378</v>
      </c>
      <c r="D43" s="608">
        <f>B18</f>
        <v>1537.1900826446281</v>
      </c>
    </row>
    <row r="44" spans="1:9" x14ac:dyDescent="0.2">
      <c r="A44" s="65" t="s">
        <v>273</v>
      </c>
      <c r="B44">
        <v>0</v>
      </c>
      <c r="D44">
        <v>0</v>
      </c>
    </row>
    <row r="45" spans="1:9" ht="13.5" thickBot="1" x14ac:dyDescent="0.25">
      <c r="A45" s="65"/>
    </row>
    <row r="46" spans="1:9" ht="13.5" thickBot="1" x14ac:dyDescent="0.25">
      <c r="A46" s="609" t="s">
        <v>274</v>
      </c>
      <c r="B46" s="610">
        <f>PMT(B42,B41,-B43,B44)</f>
        <v>869.05839258780384</v>
      </c>
      <c r="C46" s="611"/>
      <c r="D46" s="598">
        <f>PMT(D42,D41,-D43,D44)</f>
        <v>885.71428571428589</v>
      </c>
    </row>
  </sheetData>
  <mergeCells count="2">
    <mergeCell ref="A4:I4"/>
    <mergeCell ref="A38:I3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5"/>
  <sheetViews>
    <sheetView zoomScaleNormal="100" zoomScaleSheetLayoutView="100" workbookViewId="0"/>
  </sheetViews>
  <sheetFormatPr defaultRowHeight="12.75" x14ac:dyDescent="0.2"/>
  <cols>
    <col min="1" max="2" width="10" customWidth="1"/>
    <col min="3" max="3" width="12" customWidth="1"/>
    <col min="4" max="9" width="10" customWidth="1"/>
  </cols>
  <sheetData>
    <row r="1" spans="1:9" ht="15.75" x14ac:dyDescent="0.25">
      <c r="A1" s="66" t="s">
        <v>132</v>
      </c>
      <c r="B1" s="6"/>
      <c r="C1" s="6"/>
      <c r="D1" s="6"/>
      <c r="E1" s="6"/>
      <c r="F1" s="6"/>
      <c r="G1" s="6"/>
      <c r="H1" s="67"/>
      <c r="I1" s="593">
        <f>'12 Chapter model'!I1</f>
        <v>43139</v>
      </c>
    </row>
    <row r="2" spans="1:9" x14ac:dyDescent="0.2">
      <c r="A2" s="6"/>
      <c r="B2" s="6"/>
      <c r="C2" s="6"/>
      <c r="D2" s="6"/>
      <c r="E2" s="6"/>
      <c r="F2" s="6"/>
      <c r="G2" s="6"/>
      <c r="H2" s="6"/>
      <c r="I2" s="6"/>
    </row>
    <row r="3" spans="1:9" ht="55.5" customHeight="1" x14ac:dyDescent="0.2">
      <c r="A3" s="732" t="s">
        <v>3</v>
      </c>
      <c r="B3" s="732"/>
      <c r="C3" s="732"/>
      <c r="D3" s="732"/>
      <c r="E3" s="732"/>
      <c r="F3" s="732"/>
      <c r="G3" s="732"/>
      <c r="H3" s="732"/>
      <c r="I3" s="732"/>
    </row>
    <row r="4" spans="1:9" x14ac:dyDescent="0.2">
      <c r="A4" s="56" t="s">
        <v>2</v>
      </c>
      <c r="B4" s="27"/>
      <c r="C4" s="27"/>
      <c r="D4" s="27"/>
      <c r="E4" s="27"/>
      <c r="F4" s="27"/>
      <c r="G4" s="27"/>
      <c r="H4" s="27"/>
      <c r="I4" s="27"/>
    </row>
    <row r="5" spans="1:9" ht="69" customHeight="1" x14ac:dyDescent="0.2">
      <c r="A5" s="732" t="s">
        <v>133</v>
      </c>
      <c r="B5" s="732"/>
      <c r="C5" s="732"/>
      <c r="D5" s="732"/>
      <c r="E5" s="732"/>
      <c r="F5" s="732"/>
      <c r="G5" s="732"/>
      <c r="H5" s="732"/>
      <c r="I5" s="732"/>
    </row>
    <row r="6" spans="1:9" ht="15.75" x14ac:dyDescent="0.25">
      <c r="A6" s="234" t="s">
        <v>134</v>
      </c>
      <c r="B6" s="6"/>
      <c r="C6" s="6"/>
      <c r="D6" s="6"/>
      <c r="E6" s="6"/>
      <c r="F6" s="6"/>
      <c r="G6" s="6"/>
      <c r="H6" s="6"/>
      <c r="I6" s="6"/>
    </row>
    <row r="7" spans="1:9" ht="15.75" x14ac:dyDescent="0.25">
      <c r="A7" s="60" t="s">
        <v>47</v>
      </c>
      <c r="B7" s="6"/>
      <c r="C7" s="6"/>
      <c r="D7" s="6"/>
      <c r="E7" s="6"/>
      <c r="F7" s="6"/>
      <c r="G7" s="6"/>
      <c r="H7" s="6"/>
      <c r="I7" s="6"/>
    </row>
    <row r="8" spans="1:9" x14ac:dyDescent="0.2">
      <c r="A8" s="35" t="s">
        <v>31</v>
      </c>
      <c r="B8" s="6"/>
      <c r="C8" s="6"/>
      <c r="D8" s="30">
        <v>60000</v>
      </c>
      <c r="E8" s="33"/>
      <c r="F8" s="33" t="s">
        <v>39</v>
      </c>
      <c r="G8" s="33"/>
      <c r="H8" s="30">
        <v>60000</v>
      </c>
      <c r="I8" s="6"/>
    </row>
    <row r="9" spans="1:9" x14ac:dyDescent="0.2">
      <c r="A9" s="6" t="s">
        <v>33</v>
      </c>
      <c r="B9" s="6"/>
      <c r="C9" s="6"/>
      <c r="D9" s="30">
        <v>3000</v>
      </c>
      <c r="E9" s="6"/>
      <c r="F9" s="6" t="s">
        <v>36</v>
      </c>
      <c r="G9" s="6"/>
      <c r="H9" s="30">
        <v>2650</v>
      </c>
      <c r="I9" s="6"/>
    </row>
    <row r="10" spans="1:9" x14ac:dyDescent="0.2">
      <c r="A10" s="6" t="s">
        <v>37</v>
      </c>
      <c r="B10" s="6"/>
      <c r="C10" s="6"/>
      <c r="D10" s="29">
        <v>25</v>
      </c>
      <c r="E10" s="6"/>
      <c r="F10" s="6" t="s">
        <v>40</v>
      </c>
      <c r="G10" s="6"/>
      <c r="H10" s="29">
        <v>20</v>
      </c>
      <c r="I10" s="6"/>
    </row>
    <row r="11" spans="1:9" x14ac:dyDescent="0.2">
      <c r="A11" s="6" t="s">
        <v>38</v>
      </c>
      <c r="B11" s="6"/>
      <c r="C11" s="6"/>
      <c r="D11" s="29">
        <v>5</v>
      </c>
      <c r="E11" s="6"/>
      <c r="F11" s="37" t="s">
        <v>42</v>
      </c>
      <c r="G11" s="6"/>
      <c r="H11" s="31">
        <v>0.09</v>
      </c>
      <c r="I11" s="6"/>
    </row>
    <row r="12" spans="1:9" x14ac:dyDescent="0.2">
      <c r="A12" s="6" t="s">
        <v>32</v>
      </c>
      <c r="B12" s="6"/>
      <c r="C12" s="6"/>
      <c r="D12" s="31">
        <v>0.1</v>
      </c>
      <c r="E12" s="6"/>
      <c r="F12" s="6"/>
      <c r="G12" s="6"/>
      <c r="H12" s="29"/>
      <c r="I12" s="6"/>
    </row>
    <row r="13" spans="1:9" x14ac:dyDescent="0.2">
      <c r="A13" s="35" t="s">
        <v>41</v>
      </c>
      <c r="B13" s="6"/>
      <c r="C13" s="6"/>
      <c r="D13" s="31">
        <v>0.12</v>
      </c>
      <c r="E13" s="6"/>
      <c r="F13" s="6" t="s">
        <v>18</v>
      </c>
      <c r="G13" s="6"/>
      <c r="H13" s="31">
        <v>0.4</v>
      </c>
      <c r="I13" s="6"/>
    </row>
    <row r="14" spans="1:9" x14ac:dyDescent="0.2">
      <c r="A14" s="6" t="s">
        <v>68</v>
      </c>
      <c r="B14" s="6"/>
      <c r="C14" s="6"/>
      <c r="D14" s="32">
        <f>H11*(1-H13)</f>
        <v>5.3999999999999999E-2</v>
      </c>
      <c r="E14" s="6"/>
      <c r="F14" s="36" t="s">
        <v>69</v>
      </c>
      <c r="G14" s="6"/>
      <c r="H14" s="31">
        <v>0.06</v>
      </c>
      <c r="I14" s="6"/>
    </row>
    <row r="15" spans="1:9" x14ac:dyDescent="0.2">
      <c r="A15" s="6"/>
      <c r="B15" s="6"/>
      <c r="C15" s="6"/>
      <c r="D15" s="6"/>
      <c r="E15" s="6"/>
      <c r="F15" s="6"/>
      <c r="G15" s="6"/>
      <c r="H15" s="6"/>
      <c r="I15" s="6"/>
    </row>
    <row r="16" spans="1:9" ht="15.75" x14ac:dyDescent="0.25">
      <c r="A16" s="28" t="s">
        <v>4</v>
      </c>
      <c r="B16" s="6"/>
      <c r="C16" s="6"/>
      <c r="D16" s="6"/>
      <c r="E16" s="6"/>
      <c r="F16" s="6"/>
      <c r="G16" s="6"/>
      <c r="H16" s="6"/>
      <c r="I16" s="6"/>
    </row>
    <row r="17" spans="1:9" ht="13.5" thickBot="1" x14ac:dyDescent="0.25">
      <c r="A17" s="6"/>
      <c r="B17" s="6"/>
      <c r="C17" s="6"/>
      <c r="D17" s="6"/>
      <c r="E17" s="6"/>
      <c r="F17" s="38" t="s">
        <v>34</v>
      </c>
      <c r="G17" s="38" t="s">
        <v>35</v>
      </c>
      <c r="H17" s="6"/>
      <c r="I17" s="6"/>
    </row>
    <row r="18" spans="1:9" x14ac:dyDescent="0.2">
      <c r="A18" s="34" t="s">
        <v>23</v>
      </c>
      <c r="B18" s="6"/>
      <c r="C18" s="6"/>
      <c r="D18" s="6"/>
      <c r="E18" s="6"/>
      <c r="F18" s="6"/>
      <c r="G18" s="6"/>
      <c r="H18" s="6"/>
      <c r="I18" s="6"/>
    </row>
    <row r="19" spans="1:9" x14ac:dyDescent="0.2">
      <c r="A19" s="7" t="s">
        <v>24</v>
      </c>
      <c r="B19" s="7"/>
      <c r="C19" s="7"/>
      <c r="D19" s="7"/>
      <c r="E19" s="7"/>
      <c r="F19" s="235">
        <f>-D8*D12</f>
        <v>-6000</v>
      </c>
      <c r="G19" s="235">
        <f>F19*(1-H13)</f>
        <v>-3600</v>
      </c>
      <c r="H19" s="7"/>
      <c r="I19" s="7"/>
    </row>
    <row r="20" spans="1:9" x14ac:dyDescent="0.2">
      <c r="A20" s="23" t="s">
        <v>25</v>
      </c>
      <c r="B20" s="23"/>
      <c r="C20" s="23"/>
      <c r="D20" s="23"/>
      <c r="E20" s="23"/>
      <c r="F20" s="6">
        <f>-H9</f>
        <v>-2650</v>
      </c>
      <c r="G20" s="6">
        <f>F20</f>
        <v>-2650</v>
      </c>
      <c r="H20" s="23"/>
      <c r="I20" s="23"/>
    </row>
    <row r="21" spans="1:9" x14ac:dyDescent="0.2">
      <c r="A21" s="23" t="s">
        <v>26</v>
      </c>
      <c r="B21" s="23"/>
      <c r="C21" s="23"/>
      <c r="D21" s="23"/>
      <c r="E21" s="23"/>
      <c r="F21" s="23">
        <f>((D10-D11)/D10)*D9</f>
        <v>2400</v>
      </c>
      <c r="G21" s="23">
        <f>F21*H13</f>
        <v>960</v>
      </c>
      <c r="H21" s="23"/>
      <c r="I21" s="23"/>
    </row>
    <row r="22" spans="1:9" x14ac:dyDescent="0.2">
      <c r="A22" s="23" t="s">
        <v>27</v>
      </c>
      <c r="B22" s="23"/>
      <c r="C22" s="23"/>
      <c r="D22" s="23"/>
      <c r="E22" s="23"/>
      <c r="F22" s="6">
        <f>-D8*(1/12)*D13</f>
        <v>-600</v>
      </c>
      <c r="G22" s="6">
        <f>F22*(1-H13)</f>
        <v>-360</v>
      </c>
      <c r="H22" s="23"/>
      <c r="I22" s="23"/>
    </row>
    <row r="23" spans="1:9" x14ac:dyDescent="0.2">
      <c r="A23" s="23" t="s">
        <v>28</v>
      </c>
      <c r="B23" s="23"/>
      <c r="C23" s="23"/>
      <c r="D23" s="23"/>
      <c r="E23" s="23"/>
      <c r="F23" s="23">
        <f>H8*(H14/12)</f>
        <v>300</v>
      </c>
      <c r="G23" s="23">
        <f>F23*(1-H13)</f>
        <v>180</v>
      </c>
      <c r="H23" s="23"/>
      <c r="I23" s="23"/>
    </row>
    <row r="24" spans="1:9" ht="13.5" thickBot="1" x14ac:dyDescent="0.25">
      <c r="A24" s="7" t="s">
        <v>29</v>
      </c>
      <c r="B24" s="7"/>
      <c r="C24" s="7"/>
      <c r="D24" s="7"/>
      <c r="E24" s="7"/>
      <c r="F24" s="7"/>
      <c r="G24" s="236">
        <f>SUM(G19:G23)</f>
        <v>-5470</v>
      </c>
      <c r="H24" s="7"/>
      <c r="I24" s="7"/>
    </row>
    <row r="25" spans="1:9" ht="13.5" thickTop="1" x14ac:dyDescent="0.2">
      <c r="A25" s="6"/>
      <c r="B25" s="6"/>
      <c r="C25" s="6"/>
      <c r="D25" s="6"/>
      <c r="E25" s="6"/>
      <c r="F25" s="6"/>
      <c r="G25" s="6"/>
      <c r="H25" s="6"/>
      <c r="I25" s="6"/>
    </row>
    <row r="26" spans="1:9" x14ac:dyDescent="0.2">
      <c r="A26" s="39" t="s">
        <v>135</v>
      </c>
      <c r="B26" s="6"/>
      <c r="C26" s="6"/>
      <c r="D26" s="6"/>
      <c r="E26" s="6"/>
      <c r="F26" s="6"/>
      <c r="G26" s="6"/>
      <c r="H26" s="6"/>
      <c r="I26" s="6"/>
    </row>
    <row r="27" spans="1:9" x14ac:dyDescent="0.2">
      <c r="A27" s="6" t="s">
        <v>71</v>
      </c>
      <c r="B27" s="6"/>
      <c r="C27" s="6"/>
      <c r="D27" s="6"/>
      <c r="E27" s="6"/>
      <c r="F27" s="235">
        <f>H9/H10</f>
        <v>132.5</v>
      </c>
      <c r="G27" s="235">
        <f>F27*H13</f>
        <v>53</v>
      </c>
      <c r="H27" s="6"/>
      <c r="I27" s="6"/>
    </row>
    <row r="28" spans="1:9" x14ac:dyDescent="0.2">
      <c r="A28" s="23" t="s">
        <v>30</v>
      </c>
      <c r="B28" s="23"/>
      <c r="C28" s="23"/>
      <c r="D28" s="23"/>
      <c r="E28" s="23"/>
      <c r="F28" s="237">
        <f>-(D9/D10)</f>
        <v>-120</v>
      </c>
      <c r="G28" s="238">
        <f>F28*H13</f>
        <v>-48</v>
      </c>
      <c r="H28" s="23"/>
      <c r="I28" s="23"/>
    </row>
    <row r="29" spans="1:9" ht="13.5" thickBot="1" x14ac:dyDescent="0.25">
      <c r="A29" s="6" t="s">
        <v>136</v>
      </c>
      <c r="B29" s="6"/>
      <c r="C29" s="6"/>
      <c r="D29" s="6"/>
      <c r="E29" s="6"/>
      <c r="F29" s="239">
        <f>SUM(F27:F28)</f>
        <v>12.5</v>
      </c>
      <c r="G29" s="240">
        <f>SUM(G27:G28)</f>
        <v>5</v>
      </c>
      <c r="H29" s="6"/>
      <c r="I29" s="6"/>
    </row>
    <row r="30" spans="1:9" ht="13.5" thickTop="1" x14ac:dyDescent="0.2">
      <c r="A30" s="6"/>
      <c r="B30" s="6"/>
      <c r="C30" s="6"/>
      <c r="D30" s="6"/>
      <c r="E30" s="6"/>
      <c r="F30" s="6"/>
      <c r="G30" s="6"/>
      <c r="H30" s="6"/>
      <c r="I30" s="6"/>
    </row>
    <row r="31" spans="1:9" x14ac:dyDescent="0.2">
      <c r="A31" s="34" t="s">
        <v>137</v>
      </c>
      <c r="B31" s="6"/>
      <c r="C31" s="6"/>
      <c r="D31" s="6"/>
      <c r="E31" s="6"/>
      <c r="F31" s="6"/>
      <c r="G31" s="6"/>
      <c r="H31" s="6"/>
      <c r="I31" s="6"/>
    </row>
    <row r="32" spans="1:9" x14ac:dyDescent="0.2">
      <c r="A32" s="6" t="s">
        <v>138</v>
      </c>
      <c r="B32" s="6"/>
      <c r="C32" s="6"/>
      <c r="D32" s="6"/>
      <c r="E32" s="6"/>
      <c r="F32" s="235">
        <f>D8*D13</f>
        <v>7200</v>
      </c>
      <c r="G32" s="235">
        <f>F32*(1-H13)</f>
        <v>4320</v>
      </c>
      <c r="H32" s="6"/>
      <c r="I32" s="6"/>
    </row>
    <row r="33" spans="1:9" x14ac:dyDescent="0.2">
      <c r="A33" s="23" t="s">
        <v>139</v>
      </c>
      <c r="B33" s="23"/>
      <c r="C33" s="23"/>
      <c r="D33" s="23"/>
      <c r="E33" s="23"/>
      <c r="F33" s="237">
        <f>-H8*H11</f>
        <v>-5400</v>
      </c>
      <c r="G33" s="238">
        <f>F33*(1-H13)</f>
        <v>-3240</v>
      </c>
      <c r="H33" s="23"/>
      <c r="I33" s="23"/>
    </row>
    <row r="34" spans="1:9" ht="13.5" thickBot="1" x14ac:dyDescent="0.25">
      <c r="A34" s="6" t="s">
        <v>140</v>
      </c>
      <c r="B34" s="6"/>
      <c r="C34" s="6"/>
      <c r="D34" s="6"/>
      <c r="E34" s="6"/>
      <c r="F34" s="239">
        <f>SUM(F32:F33)</f>
        <v>1800</v>
      </c>
      <c r="G34" s="240">
        <f>SUM(G32:G33)</f>
        <v>1080</v>
      </c>
      <c r="H34" s="6"/>
      <c r="I34" s="6"/>
    </row>
    <row r="35" spans="1:9" ht="13.5" thickTop="1" x14ac:dyDescent="0.2">
      <c r="A35" s="6"/>
      <c r="B35" s="6"/>
      <c r="C35" s="6"/>
      <c r="D35" s="6"/>
      <c r="E35" s="6"/>
      <c r="F35" s="6"/>
      <c r="G35" s="6"/>
      <c r="H35" s="6"/>
      <c r="I35" s="6"/>
    </row>
    <row r="36" spans="1:9" ht="57" customHeight="1" x14ac:dyDescent="0.2">
      <c r="A36" s="732" t="s">
        <v>5</v>
      </c>
      <c r="B36" s="732"/>
      <c r="C36" s="732"/>
      <c r="D36" s="732"/>
      <c r="E36" s="732"/>
      <c r="F36" s="732"/>
      <c r="G36" s="732"/>
      <c r="H36" s="732"/>
      <c r="I36" s="732"/>
    </row>
    <row r="37" spans="1:9" x14ac:dyDescent="0.2">
      <c r="A37" s="6"/>
      <c r="B37" s="6"/>
      <c r="C37" s="6"/>
      <c r="D37" s="6"/>
      <c r="E37" s="6"/>
      <c r="F37" s="6"/>
      <c r="G37" s="6"/>
      <c r="H37" s="6"/>
      <c r="I37" s="6"/>
    </row>
    <row r="38" spans="1:9" ht="15.75" x14ac:dyDescent="0.25">
      <c r="A38" s="28" t="s">
        <v>48</v>
      </c>
      <c r="B38" s="6"/>
      <c r="C38" s="6"/>
      <c r="D38" s="6"/>
      <c r="E38" s="6"/>
      <c r="F38" s="6"/>
      <c r="G38" s="6"/>
      <c r="H38" s="6"/>
      <c r="I38" s="6"/>
    </row>
    <row r="39" spans="1:9" x14ac:dyDescent="0.2">
      <c r="A39" s="6"/>
      <c r="B39" s="6"/>
      <c r="C39" s="6"/>
      <c r="D39" s="6"/>
      <c r="E39" s="6"/>
      <c r="F39" s="6"/>
      <c r="G39" s="6"/>
      <c r="H39" s="6"/>
      <c r="I39" s="6"/>
    </row>
    <row r="40" spans="1:9" x14ac:dyDescent="0.2">
      <c r="A40" s="40" t="s">
        <v>141</v>
      </c>
      <c r="B40" s="6"/>
      <c r="C40" s="6"/>
      <c r="D40" s="6"/>
      <c r="E40" s="6"/>
      <c r="F40" s="40" t="s">
        <v>43</v>
      </c>
      <c r="G40" s="6"/>
      <c r="H40" s="6"/>
      <c r="I40" s="6"/>
    </row>
    <row r="41" spans="1:9" x14ac:dyDescent="0.2">
      <c r="A41" s="35" t="s">
        <v>8</v>
      </c>
      <c r="B41" s="6"/>
      <c r="C41" s="6"/>
      <c r="D41" s="29">
        <f>H10</f>
        <v>20</v>
      </c>
      <c r="E41" s="6"/>
      <c r="F41" s="35" t="s">
        <v>8</v>
      </c>
      <c r="G41" s="6"/>
      <c r="H41" s="6"/>
      <c r="I41" s="29">
        <f>H10</f>
        <v>20</v>
      </c>
    </row>
    <row r="42" spans="1:9" x14ac:dyDescent="0.2">
      <c r="A42" s="35" t="s">
        <v>7</v>
      </c>
      <c r="B42" s="6"/>
      <c r="C42" s="6"/>
      <c r="D42" s="32">
        <f>D14</f>
        <v>5.3999999999999999E-2</v>
      </c>
      <c r="E42" s="6"/>
      <c r="F42" s="35" t="s">
        <v>7</v>
      </c>
      <c r="G42" s="6"/>
      <c r="H42" s="6"/>
      <c r="I42" s="32">
        <f>D14</f>
        <v>5.3999999999999999E-2</v>
      </c>
    </row>
    <row r="43" spans="1:9" x14ac:dyDescent="0.2">
      <c r="A43" s="35" t="s">
        <v>6</v>
      </c>
      <c r="B43" s="6"/>
      <c r="C43" s="33"/>
      <c r="D43" s="30">
        <f>G29</f>
        <v>5</v>
      </c>
      <c r="E43" s="6"/>
      <c r="F43" s="35" t="s">
        <v>9</v>
      </c>
      <c r="G43" s="6"/>
      <c r="H43" s="6"/>
      <c r="I43" s="30">
        <f>G34</f>
        <v>1080</v>
      </c>
    </row>
    <row r="44" spans="1:9" x14ac:dyDescent="0.2">
      <c r="A44" s="6"/>
      <c r="B44" s="6"/>
      <c r="C44" s="33"/>
      <c r="D44" s="33"/>
      <c r="E44" s="6"/>
      <c r="F44" s="33"/>
      <c r="G44" s="6"/>
      <c r="H44" s="6"/>
      <c r="I44" s="33"/>
    </row>
    <row r="45" spans="1:9" x14ac:dyDescent="0.2">
      <c r="A45" s="35" t="s">
        <v>12</v>
      </c>
      <c r="B45" s="6"/>
      <c r="C45" s="33"/>
      <c r="D45" s="41">
        <f>-PV(D42,D41,D43)</f>
        <v>60.250804518907707</v>
      </c>
      <c r="E45" s="6"/>
      <c r="F45" s="37" t="s">
        <v>49</v>
      </c>
      <c r="G45" s="6"/>
      <c r="H45" s="6"/>
      <c r="I45" s="41">
        <f>-PV(I42,I41,I43)</f>
        <v>13014.173776084066</v>
      </c>
    </row>
    <row r="46" spans="1:9" x14ac:dyDescent="0.2">
      <c r="A46" s="6"/>
      <c r="B46" s="6"/>
      <c r="C46" s="6"/>
      <c r="D46" s="6"/>
      <c r="E46" s="6"/>
      <c r="F46" s="6"/>
      <c r="G46" s="6"/>
      <c r="H46" s="6"/>
      <c r="I46" s="6"/>
    </row>
    <row r="47" spans="1:9" ht="33" customHeight="1" x14ac:dyDescent="0.2">
      <c r="A47" s="733" t="s">
        <v>11</v>
      </c>
      <c r="B47" s="733"/>
      <c r="C47" s="733"/>
      <c r="D47" s="733"/>
      <c r="E47" s="733"/>
      <c r="F47" s="733"/>
      <c r="G47" s="733"/>
      <c r="H47" s="733"/>
      <c r="I47" s="733"/>
    </row>
    <row r="48" spans="1:9" x14ac:dyDescent="0.2">
      <c r="A48" s="35" t="s">
        <v>2</v>
      </c>
      <c r="B48" s="6"/>
      <c r="C48" s="6"/>
      <c r="D48" s="6"/>
      <c r="E48" s="6"/>
      <c r="F48" s="6"/>
      <c r="G48" s="6"/>
      <c r="H48" s="6"/>
      <c r="I48" s="6"/>
    </row>
    <row r="49" spans="1:9" x14ac:dyDescent="0.2">
      <c r="A49" s="6"/>
      <c r="B49" s="6"/>
      <c r="C49" s="6"/>
      <c r="D49" s="6"/>
      <c r="E49" s="6"/>
      <c r="F49" s="6"/>
      <c r="G49" s="6"/>
      <c r="H49" s="6"/>
      <c r="I49" s="6"/>
    </row>
    <row r="50" spans="1:9" x14ac:dyDescent="0.2">
      <c r="A50" s="61" t="s">
        <v>70</v>
      </c>
      <c r="B50" s="6"/>
      <c r="C50" s="35" t="s">
        <v>142</v>
      </c>
      <c r="D50" s="42" t="s">
        <v>45</v>
      </c>
      <c r="E50" s="734" t="s">
        <v>143</v>
      </c>
      <c r="F50" s="734"/>
      <c r="G50" s="43" t="s">
        <v>46</v>
      </c>
      <c r="H50" s="735" t="s">
        <v>44</v>
      </c>
      <c r="I50" s="735"/>
    </row>
    <row r="51" spans="1:9" x14ac:dyDescent="0.2">
      <c r="A51" s="61" t="s">
        <v>70</v>
      </c>
      <c r="B51" s="6"/>
      <c r="C51" s="241">
        <f>G24</f>
        <v>-5470</v>
      </c>
      <c r="D51" s="42" t="s">
        <v>45</v>
      </c>
      <c r="E51" s="730">
        <f>D45</f>
        <v>60.250804518907707</v>
      </c>
      <c r="F51" s="730"/>
      <c r="G51" s="43" t="s">
        <v>46</v>
      </c>
      <c r="H51" s="731">
        <f>I45</f>
        <v>13014.173776084066</v>
      </c>
      <c r="I51" s="731"/>
    </row>
    <row r="52" spans="1:9" ht="13.5" thickBot="1" x14ac:dyDescent="0.25">
      <c r="A52" s="5"/>
      <c r="B52" s="5"/>
      <c r="C52" s="12"/>
      <c r="D52" s="44"/>
      <c r="E52" s="12"/>
      <c r="F52" s="45"/>
      <c r="G52" s="12"/>
      <c r="H52" s="5"/>
      <c r="I52" s="5"/>
    </row>
    <row r="53" spans="1:9" ht="13.5" thickBot="1" x14ac:dyDescent="0.25">
      <c r="A53" s="61" t="s">
        <v>70</v>
      </c>
      <c r="B53" s="6"/>
      <c r="C53" s="242">
        <f>SUM(C51,E51,H51)</f>
        <v>7604.4245806029739</v>
      </c>
      <c r="D53" s="6"/>
      <c r="E53" s="6"/>
      <c r="F53" s="6"/>
      <c r="G53" s="6"/>
      <c r="H53" s="6"/>
      <c r="I53" s="6"/>
    </row>
    <row r="54" spans="1:9" x14ac:dyDescent="0.2">
      <c r="A54" s="6"/>
      <c r="B54" s="6"/>
      <c r="C54" s="6"/>
      <c r="D54" s="6"/>
      <c r="E54" s="6"/>
      <c r="F54" s="6"/>
      <c r="G54" s="6"/>
      <c r="H54" s="6"/>
      <c r="I54" s="6"/>
    </row>
    <row r="55" spans="1:9" ht="60.75" customHeight="1" x14ac:dyDescent="0.2">
      <c r="A55" s="732" t="s">
        <v>10</v>
      </c>
      <c r="B55" s="732"/>
      <c r="C55" s="732"/>
      <c r="D55" s="732"/>
      <c r="E55" s="732"/>
      <c r="F55" s="732"/>
      <c r="G55" s="732"/>
      <c r="H55" s="732"/>
      <c r="I55" s="732"/>
    </row>
  </sheetData>
  <mergeCells count="9">
    <mergeCell ref="E51:F51"/>
    <mergeCell ref="H51:I51"/>
    <mergeCell ref="A55:I55"/>
    <mergeCell ref="A3:I3"/>
    <mergeCell ref="A5:I5"/>
    <mergeCell ref="A36:I36"/>
    <mergeCell ref="A47:I47"/>
    <mergeCell ref="E50:F50"/>
    <mergeCell ref="H50:I50"/>
  </mergeCells>
  <pageMargins left="0.7" right="0.7" top="0.75" bottom="0.75" header="0.3" footer="0.3"/>
  <pageSetup orientation="portrait" r:id="rId1"/>
  <rowBreaks count="1" manualBreakCount="1">
    <brk id="3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3" ma:contentTypeDescription="Create a new document." ma:contentTypeScope="" ma:versionID="3debab2d95134acca05497545f368257">
  <xsd:schema xmlns:xsd="http://www.w3.org/2001/XMLSchema" xmlns:xs="http://www.w3.org/2001/XMLSchema" xmlns:p="http://schemas.microsoft.com/office/2006/metadata/properties" xmlns:ns2="f8089ecd-1835-4dd4-a78c-a87481979253" targetNamespace="http://schemas.microsoft.com/office/2006/metadata/properties" ma:root="true" ma:fieldsID="01db93bfb65fade07b3b51c6c3ade61d" ns2:_="">
    <xsd:import namespace="f8089ecd-1835-4dd4-a78c-a87481979253"/>
    <xsd:element name="properties">
      <xsd:complexType>
        <xsd:sequence>
          <xsd:element name="documentManagement">
            <xsd:complexType>
              <xsd:all>
                <xsd:element ref="ns2:SharedWithUsers" minOccurs="0"/>
                <xsd:element ref="ns2: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89ecd-1835-4dd4-a78c-a874819792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8089ecd-1835-4dd4-a78c-a87481979253">
      <UserInfo>
        <DisplayName/>
        <AccountId xsi:nil="true"/>
        <AccountType/>
      </UserInfo>
    </SharedWithUsers>
  </documentManagement>
</p:properties>
</file>

<file path=customXml/itemProps1.xml><?xml version="1.0" encoding="utf-8"?>
<ds:datastoreItem xmlns:ds="http://schemas.openxmlformats.org/officeDocument/2006/customXml" ds:itemID="{66BE20A3-065A-4290-9827-C82BAACCB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89ecd-1835-4dd4-a78c-a874819792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DD5100-05E4-43C0-B979-507D284C1E7A}">
  <ds:schemaRefs>
    <ds:schemaRef ds:uri="http://schemas.microsoft.com/sharepoint/v3/contenttype/forms"/>
  </ds:schemaRefs>
</ds:datastoreItem>
</file>

<file path=customXml/itemProps3.xml><?xml version="1.0" encoding="utf-8"?>
<ds:datastoreItem xmlns:ds="http://schemas.openxmlformats.org/officeDocument/2006/customXml" ds:itemID="{DA222038-5C5F-405D-AAE7-D33DC64E0B12}">
  <ds:schemaRefs>
    <ds:schemaRef ds:uri="http://purl.org/dc/terms/"/>
    <ds:schemaRef ds:uri="f8089ecd-1835-4dd4-a78c-a87481979253"/>
    <ds:schemaRef ds:uri="http://schemas.microsoft.com/office/2006/metadata/properties"/>
    <ds:schemaRef ds:uri="http://schemas.microsoft.com/office/infopath/2007/PartnerControls"/>
    <ds:schemaRef ds:uri="http://purl.org/dc/elements/1.1/"/>
    <ds:schemaRef ds:uri="http://purl.org/dc/dcmitype/"/>
    <ds:schemaRef ds:uri="http://www.w3.org/XML/1998/namespace"/>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12 Chapter model</vt:lpstr>
      <vt:lpstr>Replacement Analysis</vt:lpstr>
      <vt:lpstr>Risk Analysis</vt:lpstr>
      <vt:lpstr>Figure 12.3 Unequal Lives</vt:lpstr>
      <vt:lpstr>12-7</vt:lpstr>
      <vt:lpstr>Web App 12B</vt:lpstr>
      <vt:lpstr>'12 Chapter model'!Print_Area</vt:lpstr>
      <vt:lpstr>'Replacement Analysis'!Print_Area</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Gene Brigham</dc:creator>
  <cp:lastModifiedBy>Dana</cp:lastModifiedBy>
  <cp:lastPrinted>2014-05-06T18:34:23Z</cp:lastPrinted>
  <dcterms:created xsi:type="dcterms:W3CDTF">1999-10-07T03:20:52Z</dcterms:created>
  <dcterms:modified xsi:type="dcterms:W3CDTF">2018-02-08T19:00:52Z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